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760" activeTab="1"/>
  </bookViews>
  <sheets>
    <sheet name="7-11" sheetId="1" r:id="rId1"/>
    <sheet name="12+" sheetId="2" r:id="rId2"/>
    <sheet name="Лист1" sheetId="3" r:id="rId3"/>
  </sheets>
  <calcPr calcId="125725"/>
</workbook>
</file>

<file path=xl/calcChain.xml><?xml version="1.0" encoding="utf-8"?>
<calcChain xmlns="http://schemas.openxmlformats.org/spreadsheetml/2006/main">
  <c r="H212" i="2"/>
  <c r="H211"/>
  <c r="H210"/>
  <c r="H209"/>
  <c r="H208"/>
  <c r="H207"/>
  <c r="G212"/>
  <c r="G211"/>
  <c r="G210"/>
  <c r="G209"/>
  <c r="G208"/>
  <c r="G207"/>
  <c r="F212"/>
  <c r="F211"/>
  <c r="F210"/>
  <c r="F209"/>
  <c r="F208"/>
  <c r="F207"/>
  <c r="E212"/>
  <c r="E211"/>
  <c r="E210"/>
  <c r="E209"/>
  <c r="E208"/>
  <c r="E207"/>
  <c r="H204"/>
  <c r="H203"/>
  <c r="H202"/>
  <c r="H201"/>
  <c r="H200"/>
  <c r="G204"/>
  <c r="G203"/>
  <c r="G202"/>
  <c r="G201"/>
  <c r="G200"/>
  <c r="F204"/>
  <c r="F203"/>
  <c r="F202"/>
  <c r="F201"/>
  <c r="F200"/>
  <c r="E204"/>
  <c r="E203"/>
  <c r="E202"/>
  <c r="E201"/>
  <c r="E200"/>
  <c r="H191"/>
  <c r="H190"/>
  <c r="H189"/>
  <c r="H188"/>
  <c r="H187"/>
  <c r="H186"/>
  <c r="G191"/>
  <c r="G190"/>
  <c r="G189"/>
  <c r="G188"/>
  <c r="G187"/>
  <c r="G186"/>
  <c r="F191"/>
  <c r="F190"/>
  <c r="F189"/>
  <c r="F188"/>
  <c r="F187"/>
  <c r="F186"/>
  <c r="E191"/>
  <c r="E190"/>
  <c r="E189"/>
  <c r="E188"/>
  <c r="E187"/>
  <c r="E186"/>
  <c r="H183"/>
  <c r="H182"/>
  <c r="H181"/>
  <c r="H180"/>
  <c r="H179"/>
  <c r="G183"/>
  <c r="G182"/>
  <c r="G180"/>
  <c r="G179"/>
  <c r="F183"/>
  <c r="F182"/>
  <c r="F181"/>
  <c r="F180"/>
  <c r="F179"/>
  <c r="E183"/>
  <c r="E182"/>
  <c r="E181"/>
  <c r="E180"/>
  <c r="E179"/>
  <c r="H170"/>
  <c r="H169"/>
  <c r="H168"/>
  <c r="H167"/>
  <c r="H166"/>
  <c r="H165"/>
  <c r="H164"/>
  <c r="G170"/>
  <c r="G169"/>
  <c r="G168"/>
  <c r="G167"/>
  <c r="G166"/>
  <c r="G165"/>
  <c r="G164"/>
  <c r="F170"/>
  <c r="F169"/>
  <c r="F167"/>
  <c r="F166"/>
  <c r="F165"/>
  <c r="F164"/>
  <c r="E170"/>
  <c r="E169"/>
  <c r="E168"/>
  <c r="E167"/>
  <c r="E166"/>
  <c r="E165"/>
  <c r="E164"/>
  <c r="H160"/>
  <c r="H159"/>
  <c r="H158"/>
  <c r="H157"/>
  <c r="G160"/>
  <c r="G159"/>
  <c r="G158"/>
  <c r="G157"/>
  <c r="F160"/>
  <c r="F159"/>
  <c r="F158"/>
  <c r="F157"/>
  <c r="E159"/>
  <c r="E158"/>
  <c r="E157"/>
  <c r="H148"/>
  <c r="H147"/>
  <c r="H146"/>
  <c r="H145"/>
  <c r="H144"/>
  <c r="H143"/>
  <c r="G148"/>
  <c r="G147"/>
  <c r="G146"/>
  <c r="G145"/>
  <c r="G144"/>
  <c r="G143"/>
  <c r="F148"/>
  <c r="F147"/>
  <c r="F145"/>
  <c r="F144"/>
  <c r="F143"/>
  <c r="E148"/>
  <c r="E147"/>
  <c r="E146"/>
  <c r="E145"/>
  <c r="E144"/>
  <c r="E143"/>
  <c r="H139"/>
  <c r="H138"/>
  <c r="H137"/>
  <c r="H136"/>
  <c r="G139"/>
  <c r="G138"/>
  <c r="G136"/>
  <c r="F139"/>
  <c r="F138"/>
  <c r="F137"/>
  <c r="F136"/>
  <c r="E139"/>
  <c r="E138"/>
  <c r="E137"/>
  <c r="E136"/>
  <c r="H127"/>
  <c r="H126"/>
  <c r="H125"/>
  <c r="H124"/>
  <c r="H123"/>
  <c r="H122"/>
  <c r="H121"/>
  <c r="G127"/>
  <c r="G126"/>
  <c r="G125"/>
  <c r="G124"/>
  <c r="G123"/>
  <c r="G122"/>
  <c r="G121"/>
  <c r="F127"/>
  <c r="F126"/>
  <c r="F125"/>
  <c r="F124"/>
  <c r="F123"/>
  <c r="F122"/>
  <c r="F121"/>
  <c r="E127"/>
  <c r="E126"/>
  <c r="E125"/>
  <c r="E124"/>
  <c r="E123"/>
  <c r="E122"/>
  <c r="E121"/>
  <c r="H118"/>
  <c r="H117"/>
  <c r="H116"/>
  <c r="H115"/>
  <c r="G118"/>
  <c r="G117"/>
  <c r="G115"/>
  <c r="F118"/>
  <c r="F117"/>
  <c r="F116"/>
  <c r="F115"/>
  <c r="E118"/>
  <c r="E117"/>
  <c r="E116"/>
  <c r="E115"/>
  <c r="H105"/>
  <c r="H104"/>
  <c r="H103"/>
  <c r="H102"/>
  <c r="H101"/>
  <c r="H100"/>
  <c r="G105"/>
  <c r="G104"/>
  <c r="G103"/>
  <c r="G102"/>
  <c r="G101"/>
  <c r="G100"/>
  <c r="F105"/>
  <c r="F104"/>
  <c r="F103"/>
  <c r="F102"/>
  <c r="F101"/>
  <c r="F100"/>
  <c r="E105"/>
  <c r="E104"/>
  <c r="E103"/>
  <c r="E102"/>
  <c r="E101"/>
  <c r="E100"/>
  <c r="H97"/>
  <c r="H96"/>
  <c r="H95"/>
  <c r="H94"/>
  <c r="H93"/>
  <c r="G97"/>
  <c r="G96"/>
  <c r="G94"/>
  <c r="G93"/>
  <c r="F97"/>
  <c r="F96"/>
  <c r="F95"/>
  <c r="F94"/>
  <c r="F93"/>
  <c r="E97"/>
  <c r="E96"/>
  <c r="E95"/>
  <c r="E94"/>
  <c r="E93"/>
  <c r="H84"/>
  <c r="H83"/>
  <c r="H82"/>
  <c r="H81"/>
  <c r="H80"/>
  <c r="H79"/>
  <c r="G84"/>
  <c r="G83"/>
  <c r="G82"/>
  <c r="G81"/>
  <c r="G80"/>
  <c r="G79"/>
  <c r="F84"/>
  <c r="F83"/>
  <c r="F81"/>
  <c r="F80"/>
  <c r="F79"/>
  <c r="E84"/>
  <c r="E83"/>
  <c r="E82"/>
  <c r="E81"/>
  <c r="E80"/>
  <c r="E79"/>
  <c r="H76"/>
  <c r="H75"/>
  <c r="H74"/>
  <c r="H73"/>
  <c r="H72"/>
  <c r="G76"/>
  <c r="G75"/>
  <c r="G73"/>
  <c r="G72"/>
  <c r="F76"/>
  <c r="F75"/>
  <c r="F74"/>
  <c r="F73"/>
  <c r="F72"/>
  <c r="E76"/>
  <c r="E75"/>
  <c r="E74"/>
  <c r="E73"/>
  <c r="E72"/>
  <c r="H63"/>
  <c r="H62"/>
  <c r="H61"/>
  <c r="H60"/>
  <c r="H59"/>
  <c r="H58"/>
  <c r="H57"/>
  <c r="G63"/>
  <c r="G62"/>
  <c r="G61"/>
  <c r="G60"/>
  <c r="G59"/>
  <c r="G58"/>
  <c r="G57"/>
  <c r="F63"/>
  <c r="F62"/>
  <c r="F60"/>
  <c r="F59"/>
  <c r="F58"/>
  <c r="F57"/>
  <c r="E63"/>
  <c r="E62"/>
  <c r="E61"/>
  <c r="E60"/>
  <c r="E59"/>
  <c r="E58"/>
  <c r="E57"/>
  <c r="H53"/>
  <c r="H52"/>
  <c r="H51"/>
  <c r="H50"/>
  <c r="G53"/>
  <c r="G51"/>
  <c r="G50"/>
  <c r="F53"/>
  <c r="F52"/>
  <c r="F51"/>
  <c r="F50"/>
  <c r="E53"/>
  <c r="E52"/>
  <c r="E51"/>
  <c r="E50"/>
  <c r="H41"/>
  <c r="H40"/>
  <c r="H39"/>
  <c r="H38"/>
  <c r="H37"/>
  <c r="H36"/>
  <c r="H35"/>
  <c r="G41"/>
  <c r="G40"/>
  <c r="G39"/>
  <c r="G38"/>
  <c r="G37"/>
  <c r="G36"/>
  <c r="G35"/>
  <c r="F41"/>
  <c r="F40"/>
  <c r="F39"/>
  <c r="F38"/>
  <c r="F37"/>
  <c r="F36"/>
  <c r="F35"/>
  <c r="E41"/>
  <c r="E40"/>
  <c r="E39"/>
  <c r="E38"/>
  <c r="E37"/>
  <c r="E36"/>
  <c r="E35"/>
  <c r="H31"/>
  <c r="H30"/>
  <c r="H29"/>
  <c r="H28"/>
  <c r="G31"/>
  <c r="G30"/>
  <c r="G28"/>
  <c r="F31"/>
  <c r="F30"/>
  <c r="F29"/>
  <c r="F28"/>
  <c r="E31"/>
  <c r="E30"/>
  <c r="E29"/>
  <c r="E28"/>
  <c r="H19"/>
  <c r="G19"/>
  <c r="F19"/>
  <c r="E19"/>
  <c r="H18"/>
  <c r="G18"/>
  <c r="F18"/>
  <c r="E18"/>
  <c r="H17"/>
  <c r="G17"/>
  <c r="E17"/>
  <c r="H16"/>
  <c r="G16"/>
  <c r="F16"/>
  <c r="E16"/>
  <c r="H15"/>
  <c r="G15"/>
  <c r="F15"/>
  <c r="E15"/>
  <c r="H14"/>
  <c r="G14"/>
  <c r="F14"/>
  <c r="E14"/>
  <c r="H13"/>
  <c r="G13"/>
  <c r="F13"/>
  <c r="E13"/>
  <c r="H9"/>
  <c r="G9"/>
  <c r="F9"/>
  <c r="E9"/>
  <c r="H8"/>
  <c r="G8"/>
  <c r="F8"/>
  <c r="E8"/>
  <c r="H7"/>
  <c r="G7"/>
  <c r="F7"/>
  <c r="E7"/>
  <c r="H6"/>
  <c r="G6"/>
  <c r="F6"/>
  <c r="H176"/>
  <c r="G176"/>
  <c r="F176"/>
  <c r="E176"/>
  <c r="H87" i="1" l="1"/>
  <c r="H88" s="1"/>
  <c r="G87"/>
  <c r="F87"/>
  <c r="E87"/>
  <c r="H145" l="1"/>
  <c r="H115"/>
  <c r="G115"/>
  <c r="D157"/>
  <c r="H219" i="2"/>
  <c r="G219"/>
  <c r="F219"/>
  <c r="E219"/>
  <c r="D219"/>
  <c r="H214"/>
  <c r="G214"/>
  <c r="F214"/>
  <c r="E214"/>
  <c r="D214"/>
  <c r="H205"/>
  <c r="G205"/>
  <c r="F205"/>
  <c r="E205"/>
  <c r="D205"/>
  <c r="H197"/>
  <c r="G197"/>
  <c r="F197"/>
  <c r="E197"/>
  <c r="D197"/>
  <c r="H192"/>
  <c r="G192"/>
  <c r="F192"/>
  <c r="E192"/>
  <c r="D192"/>
  <c r="H184"/>
  <c r="G184"/>
  <c r="F184"/>
  <c r="E184"/>
  <c r="D184"/>
  <c r="H171"/>
  <c r="G171"/>
  <c r="F171"/>
  <c r="E171"/>
  <c r="D171"/>
  <c r="H162"/>
  <c r="G162"/>
  <c r="F162"/>
  <c r="E162"/>
  <c r="D162"/>
  <c r="H154"/>
  <c r="G154"/>
  <c r="F154"/>
  <c r="E154"/>
  <c r="D154"/>
  <c r="H149"/>
  <c r="G149"/>
  <c r="F149"/>
  <c r="E149"/>
  <c r="D149"/>
  <c r="H141"/>
  <c r="G141"/>
  <c r="F141"/>
  <c r="E141"/>
  <c r="D141"/>
  <c r="H133"/>
  <c r="G133"/>
  <c r="F133"/>
  <c r="E133"/>
  <c r="H128"/>
  <c r="G128"/>
  <c r="F128"/>
  <c r="E128"/>
  <c r="D128"/>
  <c r="H119"/>
  <c r="G119"/>
  <c r="F119"/>
  <c r="E119"/>
  <c r="D119"/>
  <c r="H129" i="1"/>
  <c r="G129"/>
  <c r="H112" i="2"/>
  <c r="G112"/>
  <c r="F112"/>
  <c r="E112"/>
  <c r="D112"/>
  <c r="H107"/>
  <c r="G107"/>
  <c r="F107"/>
  <c r="E107"/>
  <c r="D107"/>
  <c r="H98"/>
  <c r="G98"/>
  <c r="F98"/>
  <c r="E98"/>
  <c r="D98"/>
  <c r="H90"/>
  <c r="G90"/>
  <c r="F90"/>
  <c r="E90"/>
  <c r="D90"/>
  <c r="H85"/>
  <c r="G85"/>
  <c r="F85"/>
  <c r="E85"/>
  <c r="D85"/>
  <c r="H77"/>
  <c r="G77"/>
  <c r="F77"/>
  <c r="E77"/>
  <c r="E91" s="1"/>
  <c r="D77"/>
  <c r="H69"/>
  <c r="G69"/>
  <c r="F69"/>
  <c r="E69"/>
  <c r="H64"/>
  <c r="G64"/>
  <c r="F64"/>
  <c r="E64"/>
  <c r="D64"/>
  <c r="H55"/>
  <c r="G55"/>
  <c r="F55"/>
  <c r="E55"/>
  <c r="D55"/>
  <c r="H47"/>
  <c r="G47"/>
  <c r="F47"/>
  <c r="E47"/>
  <c r="D47"/>
  <c r="H42"/>
  <c r="G42"/>
  <c r="F42"/>
  <c r="E42"/>
  <c r="D42"/>
  <c r="H33"/>
  <c r="G33"/>
  <c r="F33"/>
  <c r="F48" s="1"/>
  <c r="E33"/>
  <c r="D33"/>
  <c r="H25"/>
  <c r="G25"/>
  <c r="F25"/>
  <c r="E25"/>
  <c r="H20"/>
  <c r="G20"/>
  <c r="F20"/>
  <c r="E20"/>
  <c r="D20"/>
  <c r="H11"/>
  <c r="G11"/>
  <c r="F11"/>
  <c r="E11"/>
  <c r="D11"/>
  <c r="H213" i="1"/>
  <c r="G213"/>
  <c r="F213"/>
  <c r="E213"/>
  <c r="D213"/>
  <c r="H208"/>
  <c r="G208"/>
  <c r="F208"/>
  <c r="E208"/>
  <c r="D208"/>
  <c r="H200"/>
  <c r="G200"/>
  <c r="F200"/>
  <c r="E200"/>
  <c r="D200"/>
  <c r="H192"/>
  <c r="G192"/>
  <c r="F192"/>
  <c r="E192"/>
  <c r="D192"/>
  <c r="H187"/>
  <c r="G187"/>
  <c r="F187"/>
  <c r="E187"/>
  <c r="D187"/>
  <c r="H178"/>
  <c r="G178"/>
  <c r="F178"/>
  <c r="E178"/>
  <c r="D178"/>
  <c r="H170"/>
  <c r="G170"/>
  <c r="F170"/>
  <c r="E170"/>
  <c r="H165"/>
  <c r="G165"/>
  <c r="F165"/>
  <c r="E165"/>
  <c r="D165"/>
  <c r="H157"/>
  <c r="G157"/>
  <c r="F157"/>
  <c r="E157"/>
  <c r="H150"/>
  <c r="G150"/>
  <c r="F150"/>
  <c r="E150"/>
  <c r="D150"/>
  <c r="G145"/>
  <c r="F145"/>
  <c r="E145"/>
  <c r="D145"/>
  <c r="H136"/>
  <c r="G136"/>
  <c r="F136"/>
  <c r="E136"/>
  <c r="D136"/>
  <c r="F129"/>
  <c r="E129"/>
  <c r="H108"/>
  <c r="G108"/>
  <c r="F108"/>
  <c r="E108"/>
  <c r="D108"/>
  <c r="H103"/>
  <c r="G103"/>
  <c r="F103"/>
  <c r="E103"/>
  <c r="D103"/>
  <c r="H95"/>
  <c r="G95"/>
  <c r="F95"/>
  <c r="E95"/>
  <c r="D95"/>
  <c r="H82"/>
  <c r="G82"/>
  <c r="F82"/>
  <c r="E82"/>
  <c r="D82"/>
  <c r="H74"/>
  <c r="G74"/>
  <c r="F74"/>
  <c r="E74"/>
  <c r="D74"/>
  <c r="H66"/>
  <c r="G66"/>
  <c r="F66"/>
  <c r="E66"/>
  <c r="H61"/>
  <c r="G61"/>
  <c r="F61"/>
  <c r="E61"/>
  <c r="D61"/>
  <c r="H52"/>
  <c r="G52"/>
  <c r="F52"/>
  <c r="E52"/>
  <c r="H45"/>
  <c r="G45"/>
  <c r="F45"/>
  <c r="E45"/>
  <c r="D45"/>
  <c r="H40"/>
  <c r="G40"/>
  <c r="F40"/>
  <c r="E40"/>
  <c r="D40"/>
  <c r="H31"/>
  <c r="G31"/>
  <c r="F31"/>
  <c r="E31"/>
  <c r="D31"/>
  <c r="H24"/>
  <c r="G24"/>
  <c r="F24"/>
  <c r="E24"/>
  <c r="H19"/>
  <c r="G19"/>
  <c r="F19"/>
  <c r="E19"/>
  <c r="D19"/>
  <c r="H10"/>
  <c r="G10"/>
  <c r="F10"/>
  <c r="E10"/>
  <c r="D10"/>
  <c r="E177" i="2" l="1"/>
  <c r="F91"/>
  <c r="H91"/>
  <c r="H70"/>
  <c r="E48"/>
  <c r="F26"/>
  <c r="G26"/>
  <c r="H26"/>
  <c r="E26"/>
  <c r="G48"/>
  <c r="E70"/>
  <c r="F113"/>
  <c r="G113"/>
  <c r="F134"/>
  <c r="H155"/>
  <c r="G198"/>
  <c r="H220"/>
  <c r="F70"/>
  <c r="F25" i="1"/>
  <c r="E67"/>
  <c r="G220" i="2"/>
  <c r="E220"/>
  <c r="F220"/>
  <c r="F198"/>
  <c r="E198"/>
  <c r="H198"/>
  <c r="H177"/>
  <c r="F177"/>
  <c r="F155"/>
  <c r="G155"/>
  <c r="E155"/>
  <c r="E134"/>
  <c r="G134"/>
  <c r="H134"/>
  <c r="E113"/>
  <c r="H113"/>
  <c r="G91"/>
  <c r="H48"/>
  <c r="F214" i="1"/>
  <c r="H193"/>
  <c r="F171"/>
  <c r="E151"/>
  <c r="F193"/>
  <c r="E171"/>
  <c r="G46"/>
  <c r="G109"/>
  <c r="H151"/>
  <c r="G193"/>
  <c r="E193"/>
  <c r="H214"/>
  <c r="H46"/>
  <c r="G88"/>
  <c r="H109"/>
  <c r="G25"/>
  <c r="F67"/>
  <c r="F151"/>
  <c r="E214"/>
  <c r="G214"/>
  <c r="H171"/>
  <c r="G151"/>
  <c r="E25"/>
  <c r="F46"/>
  <c r="H67"/>
  <c r="F88"/>
  <c r="E88"/>
  <c r="F109"/>
  <c r="E46"/>
  <c r="E109"/>
  <c r="H25"/>
  <c r="H124"/>
  <c r="G124"/>
  <c r="F124"/>
  <c r="E124"/>
  <c r="D124"/>
  <c r="F115"/>
  <c r="E115"/>
  <c r="D115"/>
  <c r="E130" l="1"/>
  <c r="F130"/>
  <c r="G130"/>
  <c r="H130"/>
  <c r="D170"/>
  <c r="D69" i="2"/>
  <c r="D66" i="1"/>
  <c r="D176" i="2"/>
  <c r="D129" i="1"/>
  <c r="D133" i="2"/>
  <c r="D87" i="1"/>
</calcChain>
</file>

<file path=xl/sharedStrings.xml><?xml version="1.0" encoding="utf-8"?>
<sst xmlns="http://schemas.openxmlformats.org/spreadsheetml/2006/main" count="795" uniqueCount="110">
  <si>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</si>
  <si>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</si>
  <si>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</si>
  <si>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</si>
  <si>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</si>
  <si>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</si>
  <si>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</si>
  <si>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</si>
  <si>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</si>
  <si>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</si>
  <si>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</si>
  <si>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</si>
  <si>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</si>
  <si>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</si>
  <si>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</si>
  <si>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</si>
  <si>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</si>
  <si>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</si>
  <si>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</si>
  <si>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</si>
  <si>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</si>
  <si>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</si>
  <si>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</si>
  <si>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</si>
  <si>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Яйцо вареное (поштучно)</t>
  </si>
  <si>
    <t>Каша гречневая рассыпчатая</t>
  </si>
  <si>
    <t xml:space="preserve">Компот из изюма </t>
  </si>
  <si>
    <t xml:space="preserve">Сок абрикосовый </t>
  </si>
  <si>
    <t>Компот из смеси сухофруктов</t>
  </si>
  <si>
    <t>День</t>
  </si>
  <si>
    <t xml:space="preserve">Макаронные изделия отварные  </t>
  </si>
  <si>
    <t>Компот из свежих плодов или ягод</t>
  </si>
  <si>
    <t xml:space="preserve">Сок яблочный </t>
  </si>
  <si>
    <t xml:space="preserve">Сыр порционный </t>
  </si>
  <si>
    <t xml:space="preserve">Завтрак </t>
  </si>
  <si>
    <t xml:space="preserve">Обед </t>
  </si>
  <si>
    <t xml:space="preserve">Полдник </t>
  </si>
  <si>
    <t>Рагу из птицы</t>
  </si>
  <si>
    <t>Компот из яблок с лимоном</t>
  </si>
  <si>
    <t>Курица в соусе</t>
  </si>
  <si>
    <t>Салат из моркови с яблоком</t>
  </si>
  <si>
    <t xml:space="preserve">Понед-к </t>
  </si>
  <si>
    <t>Вторник</t>
  </si>
  <si>
    <t>Среда</t>
  </si>
  <si>
    <t>Четверг</t>
  </si>
  <si>
    <t>Пятница</t>
  </si>
  <si>
    <t>Шницель из курицы припущенный</t>
  </si>
  <si>
    <t>промышл</t>
  </si>
  <si>
    <t>Мандарин</t>
  </si>
  <si>
    <t>Масло сливочное порциями</t>
  </si>
  <si>
    <t>Суп картофельгый с фрикадельками</t>
  </si>
  <si>
    <t>Печенье "курабье"</t>
  </si>
  <si>
    <t>Яблоко</t>
  </si>
  <si>
    <t xml:space="preserve">Овощи натуральные </t>
  </si>
  <si>
    <t>Коктейль молочный</t>
  </si>
  <si>
    <t>Груша</t>
  </si>
  <si>
    <t>Салат из свежих помидоров и огурцов</t>
  </si>
  <si>
    <t>Печенье овсяное</t>
  </si>
  <si>
    <t>Сок виноградный</t>
  </si>
  <si>
    <t>Печенье сахарное</t>
  </si>
  <si>
    <t>Салат овощной с яблоком</t>
  </si>
  <si>
    <t>промыш.</t>
  </si>
  <si>
    <t>Масло сливочное(порционное)</t>
  </si>
  <si>
    <t>Рыба запеченая в сметанном соусе</t>
  </si>
  <si>
    <t>Суп картофельный с бобовыми и курицей</t>
  </si>
  <si>
    <t>Борщ с капустой и картофелем и курицей</t>
  </si>
  <si>
    <t>Рассольник ленинградский с курицей и сметаной</t>
  </si>
  <si>
    <t xml:space="preserve">Пряник </t>
  </si>
  <si>
    <t>Чай с сахаром и лимоном</t>
  </si>
  <si>
    <t>6 день</t>
  </si>
  <si>
    <t xml:space="preserve">Омлет натуральный </t>
  </si>
  <si>
    <t>7 день</t>
  </si>
  <si>
    <t>Плов с говядиной</t>
  </si>
  <si>
    <t>8 день</t>
  </si>
  <si>
    <t>Напиток из шиповника</t>
  </si>
  <si>
    <t>9 день</t>
  </si>
  <si>
    <t>Жаркое по домашнему</t>
  </si>
  <si>
    <t>10 день</t>
  </si>
  <si>
    <t xml:space="preserve">Чай с сахаром </t>
  </si>
  <si>
    <t>Пастила</t>
  </si>
  <si>
    <t>Салат из свеклы с соленым огурцом</t>
  </si>
  <si>
    <t>Компот из кураги</t>
  </si>
  <si>
    <t>Салат из белокачанной капусты</t>
  </si>
  <si>
    <t>Пудинг из творога со сгущ.молоком</t>
  </si>
  <si>
    <t>Суп картофельный с крупой и курицей</t>
  </si>
  <si>
    <t>Салат из редиса с огурцами</t>
  </si>
  <si>
    <t>Щи из свежей капусты с картофелем и курицей</t>
  </si>
  <si>
    <t>Каша вязкая молочная овсяная</t>
  </si>
  <si>
    <t>дневного пребыванияс 12 и старше</t>
  </si>
  <si>
    <t xml:space="preserve">Примерное  меню  для организации питания детей в лагере дневного </t>
  </si>
  <si>
    <t xml:space="preserve">Примерное  меню  для организации питания детей в лагере </t>
  </si>
  <si>
    <t>пребывания  с 7 до 11лет</t>
  </si>
  <si>
    <t>Масло сливочное шоколадное</t>
  </si>
  <si>
    <t>Сырники из творога запеченные с  джемом</t>
  </si>
  <si>
    <t>Макаронные изделия  с сыром</t>
  </si>
  <si>
    <t>Суфле из птицы с соусом</t>
  </si>
  <si>
    <t>Нектарин</t>
  </si>
  <si>
    <t>Сливы</t>
  </si>
  <si>
    <t>Абрикосы</t>
  </si>
  <si>
    <t>Пряники</t>
  </si>
  <si>
    <t>Зефир</t>
  </si>
  <si>
    <t>Омлет с сыром</t>
  </si>
  <si>
    <t xml:space="preserve">Салат из свежих помидоров и огурцов </t>
  </si>
  <si>
    <t>Бутерброд с маслом и повидлом</t>
  </si>
  <si>
    <t>Каша "Дружба"</t>
  </si>
  <si>
    <t>Биточки куриные</t>
  </si>
  <si>
    <t>Суп с мак. зделиями и карт.с курицей</t>
  </si>
  <si>
    <t>20/10/20</t>
  </si>
  <si>
    <t>Бигус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</si>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</sst>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8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 applyProtection="1">
      <alignment horizontal="center" vertical="top"/>
    </xf>
    <xf numFmtId="2" fontId="1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left" vertical="top"/>
    </xf>
    <xf numFmtId="2" fontId="3" fillId="0" borderId="4" xfId="0" applyNumberFormat="1" applyFont="1" applyFill="1" applyBorder="1" applyAlignment="1" applyProtection="1">
      <alignment horizontal="center" vertical="top"/>
    </xf>
    <xf numFmtId="2" fontId="3" fillId="3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 applyProtection="1">
      <alignment horizontal="center" vertical="top"/>
    </xf>
    <xf numFmtId="2" fontId="4" fillId="3" borderId="2" xfId="0" applyNumberFormat="1" applyFont="1" applyFill="1" applyBorder="1" applyAlignment="1" applyProtection="1">
      <alignment horizontal="center" vertical="top" wrapText="1"/>
    </xf>
    <xf numFmtId="2" fontId="3" fillId="3" borderId="7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4"/>
  <sheetViews>
    <sheetView topLeftCell="A187" zoomScaleNormal="100" workbookViewId="0">
      <selection activeCell="E6" sqref="E6"/>
    </sheetView>
  </sheetViews>
  <sheetFormatPr defaultRowHeight="12.75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>
      <c r="A1" s="113" t="s">
        <v>89</v>
      </c>
      <c r="B1" s="113"/>
      <c r="C1" s="113"/>
      <c r="D1" s="113"/>
      <c r="E1" s="113"/>
      <c r="F1" s="113"/>
      <c r="G1" s="113"/>
      <c r="H1" s="113"/>
      <c r="I1" s="113"/>
    </row>
    <row r="2" spans="1:34" ht="20.25">
      <c r="A2" s="113" t="s">
        <v>91</v>
      </c>
      <c r="B2" s="113"/>
      <c r="C2" s="113"/>
      <c r="D2" s="113"/>
      <c r="E2" s="113"/>
      <c r="F2" s="113"/>
      <c r="G2" s="113"/>
      <c r="H2" s="113"/>
      <c r="I2" s="113"/>
    </row>
    <row r="3" spans="1:34" ht="12.75" customHeight="1">
      <c r="A3" s="102" t="s">
        <v>29</v>
      </c>
      <c r="B3" s="102" t="s">
        <v>2</v>
      </c>
      <c r="C3" s="98" t="s">
        <v>21</v>
      </c>
      <c r="D3" s="99"/>
      <c r="E3" s="105" t="s">
        <v>4</v>
      </c>
      <c r="F3" s="106"/>
      <c r="G3" s="107"/>
      <c r="H3" s="108" t="s">
        <v>22</v>
      </c>
      <c r="I3" s="102" t="s">
        <v>3</v>
      </c>
    </row>
    <row r="4" spans="1:34" ht="99.75" customHeight="1">
      <c r="A4" s="102"/>
      <c r="B4" s="102"/>
      <c r="C4" s="100"/>
      <c r="D4" s="101"/>
      <c r="E4" s="6" t="s">
        <v>1</v>
      </c>
      <c r="F4" s="5" t="s">
        <v>5</v>
      </c>
      <c r="G4" s="5" t="s">
        <v>6</v>
      </c>
      <c r="H4" s="109"/>
      <c r="I4" s="102"/>
    </row>
    <row r="5" spans="1:34" s="45" customFormat="1" ht="15" customHeight="1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>
      <c r="A6" s="103" t="s">
        <v>41</v>
      </c>
      <c r="B6" s="8" t="s">
        <v>83</v>
      </c>
      <c r="C6" s="11" t="s">
        <v>12</v>
      </c>
      <c r="D6" s="42">
        <v>150</v>
      </c>
      <c r="E6" s="42">
        <v>22.6</v>
      </c>
      <c r="F6" s="42">
        <v>8</v>
      </c>
      <c r="G6" s="42">
        <v>31</v>
      </c>
      <c r="H6" s="42">
        <v>386</v>
      </c>
      <c r="I6" s="12">
        <v>285</v>
      </c>
    </row>
    <row r="7" spans="1:34">
      <c r="A7" s="104"/>
      <c r="B7" s="29" t="s">
        <v>92</v>
      </c>
      <c r="C7" s="1" t="s">
        <v>12</v>
      </c>
      <c r="D7" s="1">
        <v>20</v>
      </c>
      <c r="E7" s="1">
        <v>0.1</v>
      </c>
      <c r="F7" s="1">
        <v>8.1999999999999993</v>
      </c>
      <c r="G7" s="1">
        <v>0</v>
      </c>
      <c r="H7" s="1">
        <v>74.8</v>
      </c>
      <c r="I7" s="1">
        <v>79</v>
      </c>
    </row>
    <row r="8" spans="1:34">
      <c r="A8" s="104"/>
      <c r="B8" s="29" t="s">
        <v>23</v>
      </c>
      <c r="C8" s="11" t="s">
        <v>12</v>
      </c>
      <c r="D8" s="1">
        <v>30</v>
      </c>
      <c r="E8" s="1">
        <v>2.25</v>
      </c>
      <c r="F8" s="1">
        <v>0.87</v>
      </c>
      <c r="G8" s="1">
        <v>15.42</v>
      </c>
      <c r="H8" s="1">
        <v>78.3</v>
      </c>
      <c r="I8" s="12">
        <v>576</v>
      </c>
    </row>
    <row r="9" spans="1:34">
      <c r="A9" s="104"/>
      <c r="B9" s="36" t="s">
        <v>68</v>
      </c>
      <c r="C9" s="38" t="s">
        <v>12</v>
      </c>
      <c r="D9" s="1">
        <v>200</v>
      </c>
      <c r="E9" s="1">
        <v>0.3</v>
      </c>
      <c r="F9" s="1">
        <v>0.1</v>
      </c>
      <c r="G9" s="1">
        <v>9.5</v>
      </c>
      <c r="H9" s="1">
        <v>40</v>
      </c>
      <c r="I9" s="7">
        <v>459</v>
      </c>
    </row>
    <row r="10" spans="1:34">
      <c r="A10" s="7"/>
      <c r="B10" s="31" t="s">
        <v>0</v>
      </c>
      <c r="C10" s="11"/>
      <c r="D10" s="71">
        <f>D6+D7+D8+D9</f>
        <v>400</v>
      </c>
      <c r="E10" s="62">
        <f>SUM(E6:E9)</f>
        <v>25.250000000000004</v>
      </c>
      <c r="F10" s="62">
        <f>SUM(F6:F9)</f>
        <v>17.170000000000002</v>
      </c>
      <c r="G10" s="62">
        <f>G6+G7+G8+G9</f>
        <v>55.92</v>
      </c>
      <c r="H10" s="62">
        <f>H6+H8+H7+H9</f>
        <v>579.1</v>
      </c>
      <c r="I10" s="12"/>
    </row>
    <row r="11" spans="1:34">
      <c r="A11" s="69"/>
      <c r="B11" s="33" t="s">
        <v>35</v>
      </c>
      <c r="C11" s="33"/>
      <c r="D11" s="11"/>
      <c r="E11" s="17"/>
      <c r="F11" s="32"/>
      <c r="G11" s="32"/>
      <c r="H11" s="32"/>
      <c r="I11" s="12"/>
    </row>
    <row r="12" spans="1:34">
      <c r="A12" s="110"/>
      <c r="B12" s="21" t="s">
        <v>60</v>
      </c>
      <c r="C12" s="9" t="s">
        <v>12</v>
      </c>
      <c r="D12" s="42">
        <v>80</v>
      </c>
      <c r="E12" s="42">
        <v>2.48</v>
      </c>
      <c r="F12" s="42">
        <v>9.1199999999999992</v>
      </c>
      <c r="G12" s="42">
        <v>7.84</v>
      </c>
      <c r="H12" s="42">
        <v>96</v>
      </c>
      <c r="I12" s="42">
        <v>28</v>
      </c>
    </row>
    <row r="13" spans="1:34" ht="25.5">
      <c r="A13" s="110"/>
      <c r="B13" s="10" t="s">
        <v>64</v>
      </c>
      <c r="C13" s="11" t="s">
        <v>12</v>
      </c>
      <c r="D13" s="67">
        <v>200</v>
      </c>
      <c r="E13" s="67">
        <v>5.04</v>
      </c>
      <c r="F13" s="67">
        <v>2.86</v>
      </c>
      <c r="G13" s="67">
        <v>11.68</v>
      </c>
      <c r="H13" s="67">
        <v>92.6</v>
      </c>
      <c r="I13" s="67">
        <v>113</v>
      </c>
    </row>
    <row r="14" spans="1:34">
      <c r="A14" s="110"/>
      <c r="B14" s="10" t="s">
        <v>46</v>
      </c>
      <c r="C14" s="11" t="s">
        <v>12</v>
      </c>
      <c r="D14" s="1">
        <v>90</v>
      </c>
      <c r="E14" s="1">
        <v>18</v>
      </c>
      <c r="F14" s="1">
        <v>15.8</v>
      </c>
      <c r="G14" s="1">
        <v>9.6</v>
      </c>
      <c r="H14" s="1">
        <v>255</v>
      </c>
      <c r="I14" s="1">
        <v>372</v>
      </c>
    </row>
    <row r="15" spans="1:34">
      <c r="A15" s="110"/>
      <c r="B15" s="29" t="s">
        <v>30</v>
      </c>
      <c r="C15" s="1" t="s">
        <v>12</v>
      </c>
      <c r="D15" s="1">
        <v>150</v>
      </c>
      <c r="E15" s="1">
        <v>5.55</v>
      </c>
      <c r="F15" s="1">
        <v>4.95</v>
      </c>
      <c r="G15" s="1">
        <v>29.55</v>
      </c>
      <c r="H15" s="1">
        <v>184.5</v>
      </c>
      <c r="I15" s="1">
        <v>255</v>
      </c>
    </row>
    <row r="16" spans="1:34">
      <c r="A16" s="110"/>
      <c r="B16" s="36" t="s">
        <v>28</v>
      </c>
      <c r="C16" s="9" t="s">
        <v>12</v>
      </c>
      <c r="D16" s="42">
        <v>200</v>
      </c>
      <c r="E16" s="42">
        <v>0.6</v>
      </c>
      <c r="F16" s="42">
        <v>0</v>
      </c>
      <c r="G16" s="42">
        <v>20.100000000000001</v>
      </c>
      <c r="H16" s="42">
        <v>84</v>
      </c>
      <c r="I16" s="42">
        <v>495</v>
      </c>
    </row>
    <row r="17" spans="1:34">
      <c r="A17" s="111"/>
      <c r="B17" s="29" t="s">
        <v>15</v>
      </c>
      <c r="C17" s="11" t="s">
        <v>12</v>
      </c>
      <c r="D17" s="1">
        <v>30</v>
      </c>
      <c r="E17" s="1">
        <v>2.04</v>
      </c>
      <c r="F17" s="1">
        <v>0.39</v>
      </c>
      <c r="G17" s="1">
        <v>11.94</v>
      </c>
      <c r="H17" s="1">
        <v>59.4</v>
      </c>
      <c r="I17" s="1">
        <v>575</v>
      </c>
    </row>
    <row r="18" spans="1:34">
      <c r="A18" s="42"/>
      <c r="B18" s="29" t="s">
        <v>23</v>
      </c>
      <c r="C18" s="11" t="s">
        <v>12</v>
      </c>
      <c r="D18" s="1">
        <v>20</v>
      </c>
      <c r="E18" s="1">
        <v>1.5</v>
      </c>
      <c r="F18" s="1">
        <v>0.57999999999999996</v>
      </c>
      <c r="G18" s="1">
        <v>10.28</v>
      </c>
      <c r="H18" s="1">
        <v>52.4</v>
      </c>
      <c r="I18" s="12">
        <v>576</v>
      </c>
    </row>
    <row r="19" spans="1:34">
      <c r="A19" s="42"/>
      <c r="B19" s="34" t="s">
        <v>8</v>
      </c>
      <c r="C19" s="3"/>
      <c r="D19" s="3">
        <f>D12+D13+D14+D16+D17+D18</f>
        <v>620</v>
      </c>
      <c r="E19" s="3">
        <f>SUM(E13:E18)</f>
        <v>32.730000000000004</v>
      </c>
      <c r="F19" s="3">
        <f>SUM(F13:F18)</f>
        <v>24.58</v>
      </c>
      <c r="G19" s="3">
        <f>G12+G13+G14+G15+G16+G17+G18</f>
        <v>100.99000000000001</v>
      </c>
      <c r="H19" s="3">
        <f>SUM(H13:H18)</f>
        <v>727.9</v>
      </c>
      <c r="I19" s="1"/>
    </row>
    <row r="20" spans="1:34">
      <c r="A20" s="112"/>
      <c r="B20" s="3" t="s">
        <v>36</v>
      </c>
      <c r="C20" s="3"/>
      <c r="D20" s="1"/>
      <c r="E20" s="2"/>
      <c r="F20" s="2"/>
      <c r="G20" s="2"/>
      <c r="H20" s="2"/>
      <c r="I20" s="1"/>
    </row>
    <row r="21" spans="1:34">
      <c r="A21" s="110"/>
      <c r="B21" s="36" t="s">
        <v>27</v>
      </c>
      <c r="C21" s="38" t="s">
        <v>12</v>
      </c>
      <c r="D21" s="1">
        <v>200</v>
      </c>
      <c r="E21" s="1">
        <v>1</v>
      </c>
      <c r="F21" s="1">
        <v>0</v>
      </c>
      <c r="G21" s="1">
        <v>0</v>
      </c>
      <c r="H21" s="1">
        <v>110</v>
      </c>
      <c r="I21" s="1">
        <v>518</v>
      </c>
    </row>
    <row r="22" spans="1:34">
      <c r="A22" s="111"/>
      <c r="B22" s="36" t="s">
        <v>79</v>
      </c>
      <c r="C22" s="38" t="s">
        <v>12</v>
      </c>
      <c r="D22" s="1">
        <v>60</v>
      </c>
      <c r="E22" s="1">
        <v>0.9</v>
      </c>
      <c r="F22" s="1">
        <v>26.2</v>
      </c>
      <c r="G22" s="1">
        <v>87.2</v>
      </c>
      <c r="H22" s="1">
        <v>357.76</v>
      </c>
      <c r="I22" s="1" t="s">
        <v>61</v>
      </c>
    </row>
    <row r="23" spans="1:34">
      <c r="A23" s="1"/>
      <c r="B23" s="27" t="s">
        <v>52</v>
      </c>
      <c r="C23" s="9" t="s">
        <v>12</v>
      </c>
      <c r="D23" s="56">
        <v>200</v>
      </c>
      <c r="E23" s="1">
        <v>0.8</v>
      </c>
      <c r="F23" s="1">
        <v>0.2</v>
      </c>
      <c r="G23" s="1">
        <v>7.5</v>
      </c>
      <c r="H23" s="1">
        <v>94</v>
      </c>
      <c r="I23" s="12">
        <v>82</v>
      </c>
    </row>
    <row r="24" spans="1:34">
      <c r="A24" s="1"/>
      <c r="B24" s="3" t="s">
        <v>9</v>
      </c>
      <c r="C24" s="11"/>
      <c r="D24" s="3">
        <v>450</v>
      </c>
      <c r="E24" s="3">
        <f>E20+E21+E22</f>
        <v>1.9</v>
      </c>
      <c r="F24" s="3">
        <f>F20+F21+F22</f>
        <v>26.2</v>
      </c>
      <c r="G24" s="3">
        <f>G20+G21+G22</f>
        <v>87.2</v>
      </c>
      <c r="H24" s="3">
        <f>H21+H22+H23</f>
        <v>561.76</v>
      </c>
      <c r="I24" s="1"/>
    </row>
    <row r="25" spans="1:34">
      <c r="A25" s="1"/>
      <c r="B25" s="3" t="s">
        <v>10</v>
      </c>
      <c r="C25" s="3"/>
      <c r="D25" s="1"/>
      <c r="E25" s="3">
        <f>E10+E19+E24</f>
        <v>59.88</v>
      </c>
      <c r="F25" s="3">
        <f>F10+F19+F24</f>
        <v>67.95</v>
      </c>
      <c r="G25" s="3">
        <f>G10+G19+G24</f>
        <v>244.11</v>
      </c>
      <c r="H25" s="3">
        <f>+H10+H19+H24</f>
        <v>1868.76</v>
      </c>
      <c r="I25" s="1"/>
    </row>
    <row r="26" spans="1:34" s="45" customFormat="1">
      <c r="A26" s="46" t="s">
        <v>17</v>
      </c>
      <c r="B26" s="43" t="s">
        <v>34</v>
      </c>
      <c r="C26" s="43"/>
      <c r="D26" s="47"/>
      <c r="E26" s="47"/>
      <c r="F26" s="47"/>
      <c r="G26" s="47"/>
      <c r="H26" s="47"/>
      <c r="I26" s="4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>
      <c r="A27" s="112" t="s">
        <v>42</v>
      </c>
      <c r="B27" s="18" t="s">
        <v>70</v>
      </c>
      <c r="C27" s="11" t="s">
        <v>12</v>
      </c>
      <c r="D27" s="1">
        <v>150</v>
      </c>
      <c r="E27" s="1">
        <v>12.9</v>
      </c>
      <c r="F27" s="1">
        <v>19.600000000000001</v>
      </c>
      <c r="G27" s="1">
        <v>3.2</v>
      </c>
      <c r="H27" s="1">
        <v>240</v>
      </c>
      <c r="I27" s="1">
        <v>268</v>
      </c>
    </row>
    <row r="28" spans="1:34">
      <c r="A28" s="110"/>
      <c r="B28" s="13" t="s">
        <v>33</v>
      </c>
      <c r="C28" s="11" t="s">
        <v>12</v>
      </c>
      <c r="D28" s="54">
        <v>20</v>
      </c>
      <c r="E28" s="1">
        <v>4.6399999999999997</v>
      </c>
      <c r="F28" s="1">
        <v>5.9</v>
      </c>
      <c r="G28" s="1">
        <v>0</v>
      </c>
      <c r="H28" s="1">
        <v>71.599999999999994</v>
      </c>
      <c r="I28" s="12">
        <v>75</v>
      </c>
    </row>
    <row r="29" spans="1:34">
      <c r="A29" s="110"/>
      <c r="B29" s="13" t="s">
        <v>7</v>
      </c>
      <c r="C29" s="11" t="s">
        <v>12</v>
      </c>
      <c r="D29" s="1">
        <v>200</v>
      </c>
      <c r="E29" s="1">
        <v>2.8</v>
      </c>
      <c r="F29" s="1">
        <v>2.5</v>
      </c>
      <c r="G29" s="1">
        <v>13.6</v>
      </c>
      <c r="H29" s="1">
        <v>88</v>
      </c>
      <c r="I29" s="63">
        <v>465</v>
      </c>
    </row>
    <row r="30" spans="1:34">
      <c r="A30" s="110"/>
      <c r="B30" s="29" t="s">
        <v>23</v>
      </c>
      <c r="C30" s="11" t="s">
        <v>12</v>
      </c>
      <c r="D30" s="1">
        <v>30</v>
      </c>
      <c r="E30" s="1">
        <v>2.25</v>
      </c>
      <c r="F30" s="1">
        <v>0.87</v>
      </c>
      <c r="G30" s="1">
        <v>15.42</v>
      </c>
      <c r="H30" s="1">
        <v>78.3</v>
      </c>
      <c r="I30" s="12">
        <v>576</v>
      </c>
    </row>
    <row r="31" spans="1:34">
      <c r="A31" s="22"/>
      <c r="B31" s="23" t="s">
        <v>0</v>
      </c>
      <c r="C31" s="9"/>
      <c r="D31" s="19">
        <f>SUM(D27:D30)</f>
        <v>400</v>
      </c>
      <c r="E31" s="19">
        <f>SUM(E27:E30)</f>
        <v>22.59</v>
      </c>
      <c r="F31" s="19">
        <f>SUM(F27:F30)</f>
        <v>28.87</v>
      </c>
      <c r="G31" s="19">
        <f>SUM(G27:G30)</f>
        <v>32.22</v>
      </c>
      <c r="H31" s="19">
        <f>SUM(H27:H30)</f>
        <v>477.90000000000003</v>
      </c>
      <c r="I31" s="22"/>
    </row>
    <row r="32" spans="1:34">
      <c r="A32" s="42"/>
      <c r="B32" s="19" t="s">
        <v>35</v>
      </c>
      <c r="C32" s="19"/>
      <c r="D32" s="20"/>
      <c r="E32" s="24"/>
      <c r="F32" s="24"/>
      <c r="G32" s="24"/>
      <c r="H32" s="24"/>
      <c r="I32" s="42"/>
    </row>
    <row r="33" spans="1:34" ht="15.6" customHeight="1">
      <c r="A33" s="110"/>
      <c r="B33" s="21" t="s">
        <v>53</v>
      </c>
      <c r="C33" s="9" t="s">
        <v>12</v>
      </c>
      <c r="D33" s="42">
        <v>80</v>
      </c>
      <c r="E33" s="42">
        <v>0.48</v>
      </c>
      <c r="F33" s="42">
        <v>0.06</v>
      </c>
      <c r="G33" s="42">
        <v>1.5</v>
      </c>
      <c r="H33" s="42">
        <v>11.2</v>
      </c>
      <c r="I33" s="42">
        <v>106</v>
      </c>
    </row>
    <row r="34" spans="1:34" ht="15.6" customHeight="1">
      <c r="A34" s="110"/>
      <c r="B34" s="21" t="s">
        <v>65</v>
      </c>
      <c r="C34" s="9" t="s">
        <v>12</v>
      </c>
      <c r="D34" s="68">
        <v>200</v>
      </c>
      <c r="E34" s="68">
        <v>1.48</v>
      </c>
      <c r="F34" s="68">
        <v>3.54</v>
      </c>
      <c r="G34" s="68">
        <v>5.56</v>
      </c>
      <c r="H34" s="68">
        <v>60</v>
      </c>
      <c r="I34" s="68">
        <v>95</v>
      </c>
    </row>
    <row r="35" spans="1:34">
      <c r="A35" s="110"/>
      <c r="B35" s="39" t="s">
        <v>39</v>
      </c>
      <c r="C35" s="37" t="s">
        <v>12</v>
      </c>
      <c r="D35" s="42">
        <v>90</v>
      </c>
      <c r="E35" s="42">
        <v>8.5500000000000007</v>
      </c>
      <c r="F35" s="42">
        <v>9.9</v>
      </c>
      <c r="G35" s="42">
        <v>1.9</v>
      </c>
      <c r="H35" s="42">
        <v>131.69999999999999</v>
      </c>
      <c r="I35" s="42">
        <v>367</v>
      </c>
    </row>
    <row r="36" spans="1:34">
      <c r="A36" s="110"/>
      <c r="B36" s="35" t="s">
        <v>25</v>
      </c>
      <c r="C36" s="37" t="s">
        <v>12</v>
      </c>
      <c r="D36" s="42">
        <v>150</v>
      </c>
      <c r="E36" s="42">
        <v>8.5</v>
      </c>
      <c r="F36" s="42">
        <v>6.3</v>
      </c>
      <c r="G36" s="42">
        <v>37.700000000000003</v>
      </c>
      <c r="H36" s="42">
        <v>271</v>
      </c>
      <c r="I36" s="42">
        <v>202</v>
      </c>
    </row>
    <row r="37" spans="1:34">
      <c r="A37" s="110"/>
      <c r="B37" s="18" t="s">
        <v>31</v>
      </c>
      <c r="C37" s="9" t="s">
        <v>12</v>
      </c>
      <c r="D37" s="1">
        <v>200</v>
      </c>
      <c r="E37" s="1">
        <v>0.1</v>
      </c>
      <c r="F37" s="1">
        <v>0.1</v>
      </c>
      <c r="G37" s="1">
        <v>11.1</v>
      </c>
      <c r="H37" s="1">
        <v>46</v>
      </c>
      <c r="I37" s="1">
        <v>486</v>
      </c>
    </row>
    <row r="38" spans="1:34">
      <c r="A38" s="110"/>
      <c r="B38" s="29" t="s">
        <v>15</v>
      </c>
      <c r="C38" s="11" t="s">
        <v>12</v>
      </c>
      <c r="D38" s="1">
        <v>30</v>
      </c>
      <c r="E38" s="1">
        <v>2.04</v>
      </c>
      <c r="F38" s="1">
        <v>0.39</v>
      </c>
      <c r="G38" s="1">
        <v>11.94</v>
      </c>
      <c r="H38" s="1">
        <v>59.4</v>
      </c>
      <c r="I38" s="1">
        <v>575</v>
      </c>
    </row>
    <row r="39" spans="1:34">
      <c r="A39" s="111"/>
      <c r="B39" s="29" t="s">
        <v>23</v>
      </c>
      <c r="C39" s="11" t="s">
        <v>12</v>
      </c>
      <c r="D39" s="1">
        <v>20</v>
      </c>
      <c r="E39" s="1">
        <v>1.5</v>
      </c>
      <c r="F39" s="1">
        <v>0.57999999999999996</v>
      </c>
      <c r="G39" s="1">
        <v>10.28</v>
      </c>
      <c r="H39" s="1">
        <v>52.4</v>
      </c>
      <c r="I39" s="12">
        <v>576</v>
      </c>
    </row>
    <row r="40" spans="1:34">
      <c r="A40" s="42"/>
      <c r="B40" s="28" t="s">
        <v>8</v>
      </c>
      <c r="C40" s="28"/>
      <c r="D40" s="19">
        <f>SUM(D33:D39)</f>
        <v>770</v>
      </c>
      <c r="E40" s="19">
        <f>SUM(E33:E39)</f>
        <v>22.650000000000002</v>
      </c>
      <c r="F40" s="19">
        <f>SUM(F33:F39)</f>
        <v>20.87</v>
      </c>
      <c r="G40" s="19">
        <f>SUM(G33:G39)</f>
        <v>79.98</v>
      </c>
      <c r="H40" s="19">
        <f>SUM(H33:H39)</f>
        <v>631.69999999999993</v>
      </c>
      <c r="I40" s="42"/>
    </row>
    <row r="41" spans="1:34">
      <c r="A41" s="42"/>
      <c r="B41" s="19" t="s">
        <v>36</v>
      </c>
      <c r="C41" s="19"/>
      <c r="D41" s="42"/>
      <c r="E41" s="26"/>
      <c r="F41" s="26"/>
      <c r="G41" s="26"/>
      <c r="H41" s="25"/>
      <c r="I41" s="42"/>
    </row>
    <row r="42" spans="1:34">
      <c r="A42" s="112"/>
      <c r="B42" s="27" t="s">
        <v>54</v>
      </c>
      <c r="C42" s="9" t="s">
        <v>12</v>
      </c>
      <c r="D42" s="1">
        <v>200</v>
      </c>
      <c r="E42" s="1">
        <v>2.8</v>
      </c>
      <c r="F42" s="1">
        <v>3.2</v>
      </c>
      <c r="G42" s="1">
        <v>9.5</v>
      </c>
      <c r="H42" s="1">
        <v>91</v>
      </c>
      <c r="I42" s="42" t="s">
        <v>47</v>
      </c>
    </row>
    <row r="43" spans="1:34">
      <c r="A43" s="110"/>
      <c r="B43" s="27" t="s">
        <v>59</v>
      </c>
      <c r="C43" s="9" t="s">
        <v>12</v>
      </c>
      <c r="D43" s="1">
        <v>80</v>
      </c>
      <c r="E43" s="1">
        <v>2.06</v>
      </c>
      <c r="F43" s="1">
        <v>13.2</v>
      </c>
      <c r="G43" s="1">
        <v>47.4</v>
      </c>
      <c r="H43" s="1">
        <v>295</v>
      </c>
      <c r="I43" s="42" t="s">
        <v>47</v>
      </c>
    </row>
    <row r="44" spans="1:34">
      <c r="A44" s="111"/>
      <c r="B44" s="29" t="s">
        <v>55</v>
      </c>
      <c r="C44" s="11" t="s">
        <v>12</v>
      </c>
      <c r="D44" s="1">
        <v>200</v>
      </c>
      <c r="E44" s="1">
        <v>0.8</v>
      </c>
      <c r="F44" s="1">
        <v>0.2</v>
      </c>
      <c r="G44" s="1">
        <v>20.100000000000001</v>
      </c>
      <c r="H44" s="1">
        <v>120</v>
      </c>
      <c r="I44" s="12">
        <v>82</v>
      </c>
    </row>
    <row r="45" spans="1:34">
      <c r="A45" s="27"/>
      <c r="B45" s="28" t="s">
        <v>9</v>
      </c>
      <c r="C45" s="9" t="s">
        <v>12</v>
      </c>
      <c r="D45" s="19">
        <f>SUM(D42:D44)</f>
        <v>480</v>
      </c>
      <c r="E45" s="19">
        <f>SUM(E42:E44)</f>
        <v>5.6599999999999993</v>
      </c>
      <c r="F45" s="19">
        <f>SUM(F42:F44)</f>
        <v>16.599999999999998</v>
      </c>
      <c r="G45" s="19">
        <f>SUM(G42:G44)</f>
        <v>77</v>
      </c>
      <c r="H45" s="19">
        <f>SUM(H42:H44)</f>
        <v>506</v>
      </c>
      <c r="I45" s="27"/>
    </row>
    <row r="46" spans="1:34">
      <c r="A46" s="27"/>
      <c r="B46" s="28" t="s">
        <v>10</v>
      </c>
      <c r="C46" s="28"/>
      <c r="D46" s="42"/>
      <c r="E46" s="19">
        <f>E31+E40+E45</f>
        <v>50.9</v>
      </c>
      <c r="F46" s="19">
        <f>F31+F40+F45</f>
        <v>66.34</v>
      </c>
      <c r="G46" s="19">
        <f>G31+G40+G45</f>
        <v>189.2</v>
      </c>
      <c r="H46" s="19">
        <f>H31+H40+H45</f>
        <v>1615.6</v>
      </c>
      <c r="I46" s="27"/>
    </row>
    <row r="47" spans="1:34" s="45" customFormat="1">
      <c r="A47" s="43" t="s">
        <v>16</v>
      </c>
      <c r="B47" s="43" t="s">
        <v>34</v>
      </c>
      <c r="C47" s="43"/>
      <c r="D47" s="44"/>
      <c r="E47" s="44"/>
      <c r="F47" s="44"/>
      <c r="G47" s="44"/>
      <c r="H47" s="44"/>
      <c r="I47" s="4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 s="115" t="s">
        <v>43</v>
      </c>
      <c r="B48" s="29" t="s">
        <v>94</v>
      </c>
      <c r="C48" s="1" t="s">
        <v>12</v>
      </c>
      <c r="D48" s="1">
        <v>200</v>
      </c>
      <c r="E48" s="1">
        <v>12</v>
      </c>
      <c r="F48" s="1">
        <v>10</v>
      </c>
      <c r="G48" s="1">
        <v>35.299999999999997</v>
      </c>
      <c r="H48" s="1">
        <v>284.39999999999998</v>
      </c>
      <c r="I48" s="1">
        <v>259</v>
      </c>
    </row>
    <row r="49" spans="1:9">
      <c r="A49" s="116"/>
      <c r="B49" s="13" t="s">
        <v>103</v>
      </c>
      <c r="C49" s="11" t="s">
        <v>12</v>
      </c>
      <c r="D49" s="79" t="s">
        <v>107</v>
      </c>
      <c r="E49" s="1">
        <v>1.6</v>
      </c>
      <c r="F49" s="1">
        <v>3.8</v>
      </c>
      <c r="G49" s="1">
        <v>23.4</v>
      </c>
      <c r="H49" s="1">
        <v>134</v>
      </c>
      <c r="I49" s="12">
        <v>72</v>
      </c>
    </row>
    <row r="50" spans="1:9">
      <c r="A50" s="116"/>
      <c r="B50" s="39" t="s">
        <v>14</v>
      </c>
      <c r="C50" s="55" t="s">
        <v>12</v>
      </c>
      <c r="D50" s="53">
        <v>200</v>
      </c>
      <c r="E50" s="53">
        <v>0.3</v>
      </c>
      <c r="F50" s="53">
        <v>0.1</v>
      </c>
      <c r="G50" s="53">
        <v>9.5</v>
      </c>
      <c r="H50" s="53">
        <v>40</v>
      </c>
      <c r="I50" s="58">
        <v>459</v>
      </c>
    </row>
    <row r="51" spans="1:9">
      <c r="A51" s="116"/>
      <c r="B51" s="29" t="s">
        <v>23</v>
      </c>
      <c r="C51" s="11" t="s">
        <v>12</v>
      </c>
      <c r="D51" s="1">
        <v>30</v>
      </c>
      <c r="E51" s="1">
        <v>1.5</v>
      </c>
      <c r="F51" s="1">
        <v>0.57999999999999996</v>
      </c>
      <c r="G51" s="1">
        <v>10.28</v>
      </c>
      <c r="H51" s="1">
        <v>52.4</v>
      </c>
      <c r="I51" s="12">
        <v>576</v>
      </c>
    </row>
    <row r="52" spans="1:9">
      <c r="A52" s="42"/>
      <c r="B52" s="23" t="s">
        <v>0</v>
      </c>
      <c r="C52" s="9"/>
      <c r="D52" s="78">
        <v>480</v>
      </c>
      <c r="E52" s="19">
        <f>SUM(E48:E51)</f>
        <v>15.4</v>
      </c>
      <c r="F52" s="19">
        <f>SUM(F48:F51)</f>
        <v>14.48</v>
      </c>
      <c r="G52" s="19">
        <f>SUM(G48:G51)</f>
        <v>78.47999999999999</v>
      </c>
      <c r="H52" s="19">
        <f>SUM(H48:H51)</f>
        <v>510.79999999999995</v>
      </c>
      <c r="I52" s="22"/>
    </row>
    <row r="53" spans="1:9">
      <c r="A53" s="103"/>
      <c r="B53" s="19" t="s">
        <v>35</v>
      </c>
      <c r="C53" s="19"/>
      <c r="D53" s="20"/>
      <c r="E53" s="24"/>
      <c r="F53" s="24"/>
      <c r="G53" s="24"/>
      <c r="H53" s="24"/>
      <c r="I53" s="42"/>
    </row>
    <row r="54" spans="1:9" ht="25.5">
      <c r="A54" s="104"/>
      <c r="B54" s="72" t="s">
        <v>80</v>
      </c>
      <c r="C54" s="11" t="s">
        <v>12</v>
      </c>
      <c r="D54" s="42">
        <v>80</v>
      </c>
      <c r="E54" s="25">
        <v>0.78</v>
      </c>
      <c r="F54" s="25">
        <v>3.66</v>
      </c>
      <c r="G54" s="25">
        <v>3.72</v>
      </c>
      <c r="H54" s="25">
        <v>50.4</v>
      </c>
      <c r="I54" s="42">
        <v>31</v>
      </c>
    </row>
    <row r="55" spans="1:9" ht="13.5" customHeight="1">
      <c r="A55" s="104"/>
      <c r="B55" s="21" t="s">
        <v>50</v>
      </c>
      <c r="C55" s="9" t="s">
        <v>12</v>
      </c>
      <c r="D55" s="42">
        <v>200</v>
      </c>
      <c r="E55" s="42">
        <v>7.16</v>
      </c>
      <c r="F55" s="42">
        <v>7.66</v>
      </c>
      <c r="G55" s="42">
        <v>6</v>
      </c>
      <c r="H55" s="42">
        <v>277</v>
      </c>
      <c r="I55" s="42">
        <v>123</v>
      </c>
    </row>
    <row r="56" spans="1:9" ht="15.75" customHeight="1">
      <c r="A56" s="104"/>
      <c r="B56" s="10" t="s">
        <v>63</v>
      </c>
      <c r="C56" s="11" t="s">
        <v>12</v>
      </c>
      <c r="D56" s="1">
        <v>90</v>
      </c>
      <c r="E56" s="1">
        <v>12</v>
      </c>
      <c r="F56" s="1">
        <v>3.6</v>
      </c>
      <c r="G56" s="1">
        <v>3</v>
      </c>
      <c r="H56" s="1">
        <v>92.4</v>
      </c>
      <c r="I56" s="1">
        <v>298</v>
      </c>
    </row>
    <row r="57" spans="1:9">
      <c r="A57" s="104"/>
      <c r="B57" s="29" t="s">
        <v>13</v>
      </c>
      <c r="C57" s="1" t="s">
        <v>12</v>
      </c>
      <c r="D57" s="1">
        <v>150</v>
      </c>
      <c r="E57" s="1">
        <v>4.05</v>
      </c>
      <c r="F57" s="1">
        <v>6</v>
      </c>
      <c r="G57" s="1">
        <v>8.6999999999999993</v>
      </c>
      <c r="H57" s="1">
        <v>10.5</v>
      </c>
      <c r="I57" s="1">
        <v>377</v>
      </c>
    </row>
    <row r="58" spans="1:9">
      <c r="A58" s="114"/>
      <c r="B58" s="36" t="s">
        <v>81</v>
      </c>
      <c r="C58" s="9" t="s">
        <v>12</v>
      </c>
      <c r="D58" s="42">
        <v>200</v>
      </c>
      <c r="E58" s="42">
        <v>0.6</v>
      </c>
      <c r="F58" s="42">
        <v>0</v>
      </c>
      <c r="G58" s="42">
        <v>9.6999999999999993</v>
      </c>
      <c r="H58" s="42">
        <v>72</v>
      </c>
      <c r="I58" s="42">
        <v>494</v>
      </c>
    </row>
    <row r="59" spans="1:9">
      <c r="A59" s="42"/>
      <c r="B59" s="29" t="s">
        <v>15</v>
      </c>
      <c r="C59" s="11" t="s">
        <v>12</v>
      </c>
      <c r="D59" s="1">
        <v>30</v>
      </c>
      <c r="E59" s="1">
        <v>2.04</v>
      </c>
      <c r="F59" s="1">
        <v>0.39</v>
      </c>
      <c r="G59" s="1">
        <v>11.94</v>
      </c>
      <c r="H59" s="1">
        <v>59.4</v>
      </c>
      <c r="I59" s="1">
        <v>575</v>
      </c>
    </row>
    <row r="60" spans="1:9">
      <c r="A60" s="42"/>
      <c r="B60" s="29" t="s">
        <v>23</v>
      </c>
      <c r="C60" s="11" t="s">
        <v>12</v>
      </c>
      <c r="D60" s="1">
        <v>30</v>
      </c>
      <c r="E60" s="1">
        <v>1.5</v>
      </c>
      <c r="F60" s="1">
        <v>0.57999999999999996</v>
      </c>
      <c r="G60" s="1">
        <v>10.28</v>
      </c>
      <c r="H60" s="1">
        <v>52.4</v>
      </c>
      <c r="I60" s="12">
        <v>576</v>
      </c>
    </row>
    <row r="61" spans="1:9">
      <c r="A61" s="112"/>
      <c r="B61" s="28" t="s">
        <v>8</v>
      </c>
      <c r="C61" s="28"/>
      <c r="D61" s="19">
        <f>SUM(D54:D60)</f>
        <v>780</v>
      </c>
      <c r="E61" s="19">
        <f>SUM(E54:E60)</f>
        <v>28.130000000000003</v>
      </c>
      <c r="F61" s="19">
        <f>SUM(F54:F60)</f>
        <v>21.89</v>
      </c>
      <c r="G61" s="19">
        <f>SUM(G54:G60)</f>
        <v>53.34</v>
      </c>
      <c r="H61" s="19">
        <f>SUM(H54:H60)</f>
        <v>614.09999999999991</v>
      </c>
      <c r="I61" s="42"/>
    </row>
    <row r="62" spans="1:9">
      <c r="A62" s="111"/>
      <c r="B62" s="19" t="s">
        <v>36</v>
      </c>
      <c r="C62" s="19"/>
      <c r="D62" s="42"/>
      <c r="E62" s="26"/>
      <c r="F62" s="26"/>
      <c r="G62" s="26"/>
      <c r="H62" s="25"/>
      <c r="I62" s="42"/>
    </row>
    <row r="63" spans="1:9">
      <c r="A63" s="27"/>
      <c r="B63" s="36" t="s">
        <v>32</v>
      </c>
      <c r="C63" s="38" t="s">
        <v>12</v>
      </c>
      <c r="D63" s="1">
        <v>200</v>
      </c>
      <c r="E63" s="1">
        <v>1</v>
      </c>
      <c r="F63" s="1">
        <v>0</v>
      </c>
      <c r="G63" s="1">
        <v>0</v>
      </c>
      <c r="H63" s="1">
        <v>110</v>
      </c>
      <c r="I63" s="1">
        <v>518</v>
      </c>
    </row>
    <row r="64" spans="1:9">
      <c r="A64" s="27"/>
      <c r="B64" s="27" t="s">
        <v>51</v>
      </c>
      <c r="C64" s="9" t="s">
        <v>12</v>
      </c>
      <c r="D64" s="1">
        <v>80</v>
      </c>
      <c r="E64" s="1">
        <v>2.06</v>
      </c>
      <c r="F64" s="1">
        <v>13.2</v>
      </c>
      <c r="G64" s="1">
        <v>47.4</v>
      </c>
      <c r="H64" s="1">
        <v>362</v>
      </c>
      <c r="I64" s="42" t="s">
        <v>47</v>
      </c>
    </row>
    <row r="65" spans="1:34">
      <c r="A65" s="27"/>
      <c r="B65" s="29" t="s">
        <v>48</v>
      </c>
      <c r="C65" s="11" t="s">
        <v>12</v>
      </c>
      <c r="D65" s="56">
        <v>200</v>
      </c>
      <c r="E65" s="1">
        <v>0.8</v>
      </c>
      <c r="F65" s="1">
        <v>0.2</v>
      </c>
      <c r="G65" s="1">
        <v>7.5</v>
      </c>
      <c r="H65" s="1">
        <v>112.8</v>
      </c>
      <c r="I65" s="12">
        <v>82</v>
      </c>
    </row>
    <row r="66" spans="1:34">
      <c r="A66" s="27"/>
      <c r="B66" s="3" t="s">
        <v>9</v>
      </c>
      <c r="C66" s="11"/>
      <c r="D66" s="3">
        <f ca="1">SUM(D63:D89)</f>
        <v>400</v>
      </c>
      <c r="E66" s="3">
        <f>E63+E64+E65</f>
        <v>3.8600000000000003</v>
      </c>
      <c r="F66" s="3">
        <f>F64+F65</f>
        <v>13.399999999999999</v>
      </c>
      <c r="G66" s="3">
        <f>G64+G65</f>
        <v>54.9</v>
      </c>
      <c r="H66" s="3">
        <f>H63+H64+H65</f>
        <v>584.79999999999995</v>
      </c>
      <c r="I66" s="1"/>
    </row>
    <row r="67" spans="1:34">
      <c r="A67" s="27"/>
      <c r="B67" s="3" t="s">
        <v>10</v>
      </c>
      <c r="C67" s="3"/>
      <c r="D67" s="1"/>
      <c r="E67" s="3">
        <f>E52+E61+E66</f>
        <v>47.39</v>
      </c>
      <c r="F67" s="3">
        <f>F52+F61+F66</f>
        <v>49.77</v>
      </c>
      <c r="G67" s="3">
        <v>171.9</v>
      </c>
      <c r="H67" s="3">
        <f>H52+H61+H66</f>
        <v>1709.6999999999998</v>
      </c>
      <c r="I67" s="1"/>
    </row>
    <row r="68" spans="1:34" s="45" customFormat="1">
      <c r="A68" s="43" t="s">
        <v>18</v>
      </c>
      <c r="B68" s="43" t="s">
        <v>34</v>
      </c>
      <c r="C68" s="59"/>
      <c r="D68" s="59"/>
      <c r="E68" s="60"/>
      <c r="F68" s="60"/>
      <c r="G68" s="60"/>
      <c r="H68" s="60"/>
      <c r="I68" s="6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 s="112" t="s">
        <v>44</v>
      </c>
      <c r="B69" s="10" t="s">
        <v>104</v>
      </c>
      <c r="C69" s="11" t="s">
        <v>12</v>
      </c>
      <c r="D69" s="1">
        <v>180</v>
      </c>
      <c r="E69" s="1">
        <v>4.5</v>
      </c>
      <c r="F69" s="1">
        <v>4.8</v>
      </c>
      <c r="G69" s="1">
        <v>22.8</v>
      </c>
      <c r="H69" s="1">
        <v>204</v>
      </c>
      <c r="I69" s="1">
        <v>223</v>
      </c>
    </row>
    <row r="70" spans="1:34">
      <c r="A70" s="110"/>
      <c r="B70" s="18" t="s">
        <v>24</v>
      </c>
      <c r="C70" s="11" t="s">
        <v>12</v>
      </c>
      <c r="D70" s="1">
        <v>40</v>
      </c>
      <c r="E70" s="1">
        <v>5.0999999999999996</v>
      </c>
      <c r="F70" s="1">
        <v>4.5999999999999996</v>
      </c>
      <c r="G70" s="1">
        <v>0.3</v>
      </c>
      <c r="H70" s="1">
        <v>63</v>
      </c>
      <c r="I70" s="63">
        <v>300</v>
      </c>
    </row>
    <row r="71" spans="1:34">
      <c r="A71" s="110"/>
      <c r="B71" s="13" t="s">
        <v>33</v>
      </c>
      <c r="C71" s="11" t="s">
        <v>12</v>
      </c>
      <c r="D71" s="54">
        <v>20</v>
      </c>
      <c r="E71" s="1">
        <v>4.6399999999999997</v>
      </c>
      <c r="F71" s="1">
        <v>5.9</v>
      </c>
      <c r="G71" s="1">
        <v>0</v>
      </c>
      <c r="H71" s="1">
        <v>71.599999999999994</v>
      </c>
      <c r="I71" s="12">
        <v>75</v>
      </c>
    </row>
    <row r="72" spans="1:34">
      <c r="A72" s="110"/>
      <c r="B72" s="29" t="s">
        <v>23</v>
      </c>
      <c r="C72" s="11" t="s">
        <v>12</v>
      </c>
      <c r="D72" s="1">
        <v>30</v>
      </c>
      <c r="E72" s="1">
        <v>2.25</v>
      </c>
      <c r="F72" s="1">
        <v>0.87</v>
      </c>
      <c r="G72" s="1">
        <v>15.42</v>
      </c>
      <c r="H72" s="1">
        <v>78.3</v>
      </c>
      <c r="I72" s="12">
        <v>576</v>
      </c>
    </row>
    <row r="73" spans="1:34">
      <c r="A73" s="110"/>
      <c r="B73" s="13" t="s">
        <v>7</v>
      </c>
      <c r="C73" s="11" t="s">
        <v>12</v>
      </c>
      <c r="D73" s="1">
        <v>200</v>
      </c>
      <c r="E73" s="1">
        <v>2.8</v>
      </c>
      <c r="F73" s="1">
        <v>2.5</v>
      </c>
      <c r="G73" s="1">
        <v>13.6</v>
      </c>
      <c r="H73" s="1">
        <v>88</v>
      </c>
      <c r="I73" s="63">
        <v>465</v>
      </c>
    </row>
    <row r="74" spans="1:34">
      <c r="A74" s="22"/>
      <c r="B74" s="15" t="s">
        <v>0</v>
      </c>
      <c r="C74" s="16"/>
      <c r="D74" s="64">
        <f>SUM(D69:D73)</f>
        <v>470</v>
      </c>
      <c r="E74" s="64">
        <f>SUM(E69:E73)</f>
        <v>19.29</v>
      </c>
      <c r="F74" s="64">
        <f>SUM(F69:F73)</f>
        <v>18.669999999999998</v>
      </c>
      <c r="G74" s="64">
        <f>SUM(G69:G73)</f>
        <v>52.120000000000005</v>
      </c>
      <c r="H74" s="64">
        <f>SUM(H69:H73)</f>
        <v>504.90000000000003</v>
      </c>
      <c r="I74" s="65"/>
    </row>
    <row r="75" spans="1:34">
      <c r="A75" s="22"/>
      <c r="B75" s="3" t="s">
        <v>35</v>
      </c>
      <c r="C75" s="16"/>
      <c r="D75" s="17"/>
      <c r="E75" s="30"/>
      <c r="F75" s="30"/>
      <c r="G75" s="30"/>
      <c r="H75" s="30"/>
      <c r="I75" s="14"/>
    </row>
    <row r="76" spans="1:34" ht="24" customHeight="1">
      <c r="A76" s="103"/>
      <c r="B76" s="36" t="s">
        <v>56</v>
      </c>
      <c r="C76" s="38" t="s">
        <v>12</v>
      </c>
      <c r="D76" s="56">
        <v>80</v>
      </c>
      <c r="E76" s="67">
        <v>1.8</v>
      </c>
      <c r="F76" s="67">
        <v>4.8</v>
      </c>
      <c r="G76" s="67">
        <v>2.8</v>
      </c>
      <c r="H76" s="67">
        <v>58.4</v>
      </c>
      <c r="I76" s="66">
        <v>18</v>
      </c>
    </row>
    <row r="77" spans="1:34">
      <c r="A77" s="104"/>
      <c r="B77" s="29" t="s">
        <v>84</v>
      </c>
      <c r="C77" s="37" t="s">
        <v>12</v>
      </c>
      <c r="D77" s="1">
        <v>200</v>
      </c>
      <c r="E77" s="1">
        <v>2.2000000000000002</v>
      </c>
      <c r="F77" s="1">
        <v>2.82</v>
      </c>
      <c r="G77" s="1">
        <v>7.84</v>
      </c>
      <c r="H77" s="1">
        <v>125.9</v>
      </c>
      <c r="I77" s="1">
        <v>114</v>
      </c>
    </row>
    <row r="78" spans="1:34">
      <c r="A78" s="104"/>
      <c r="B78" s="13" t="s">
        <v>37</v>
      </c>
      <c r="C78" s="11" t="s">
        <v>12</v>
      </c>
      <c r="D78" s="1">
        <v>240</v>
      </c>
      <c r="E78" s="1">
        <v>25.2</v>
      </c>
      <c r="F78" s="1">
        <v>22.8</v>
      </c>
      <c r="G78" s="1">
        <v>19.079999999999998</v>
      </c>
      <c r="H78" s="1">
        <v>382.9</v>
      </c>
      <c r="I78" s="1">
        <v>376</v>
      </c>
    </row>
    <row r="79" spans="1:34">
      <c r="A79" s="104"/>
      <c r="B79" s="36" t="s">
        <v>28</v>
      </c>
      <c r="C79" s="9" t="s">
        <v>12</v>
      </c>
      <c r="D79" s="42">
        <v>200</v>
      </c>
      <c r="E79" s="42">
        <v>0.6</v>
      </c>
      <c r="F79" s="42">
        <v>0</v>
      </c>
      <c r="G79" s="42">
        <v>20.100000000000001</v>
      </c>
      <c r="H79" s="42">
        <v>84</v>
      </c>
      <c r="I79" s="42">
        <v>495</v>
      </c>
    </row>
    <row r="80" spans="1:34">
      <c r="A80" s="104"/>
      <c r="B80" s="29" t="s">
        <v>15</v>
      </c>
      <c r="C80" s="11" t="s">
        <v>12</v>
      </c>
      <c r="D80" s="1">
        <v>30</v>
      </c>
      <c r="E80" s="1">
        <v>2.04</v>
      </c>
      <c r="F80" s="1">
        <v>0.39</v>
      </c>
      <c r="G80" s="1">
        <v>11.94</v>
      </c>
      <c r="H80" s="1">
        <v>59.4</v>
      </c>
      <c r="I80" s="1">
        <v>575</v>
      </c>
    </row>
    <row r="81" spans="1:34">
      <c r="A81" s="114"/>
      <c r="B81" s="29" t="s">
        <v>23</v>
      </c>
      <c r="C81" s="11" t="s">
        <v>12</v>
      </c>
      <c r="D81" s="1">
        <v>20</v>
      </c>
      <c r="E81" s="1">
        <v>1.5</v>
      </c>
      <c r="F81" s="1">
        <v>0.57999999999999996</v>
      </c>
      <c r="G81" s="1">
        <v>10.28</v>
      </c>
      <c r="H81" s="1">
        <v>52.4</v>
      </c>
      <c r="I81" s="12">
        <v>576</v>
      </c>
    </row>
    <row r="82" spans="1:34">
      <c r="A82" s="42"/>
      <c r="B82" s="4" t="s">
        <v>8</v>
      </c>
      <c r="C82" s="4"/>
      <c r="D82" s="3">
        <f>SUM(D76:D81)</f>
        <v>770</v>
      </c>
      <c r="E82" s="3">
        <f>SUM(E76:E81)</f>
        <v>33.340000000000003</v>
      </c>
      <c r="F82" s="3">
        <f>SUM(F76:F81)</f>
        <v>31.39</v>
      </c>
      <c r="G82" s="3">
        <f>SUM(G76:G81)</f>
        <v>72.039999999999992</v>
      </c>
      <c r="H82" s="3">
        <f>SUM(H76:H81)</f>
        <v>763</v>
      </c>
      <c r="I82" s="1"/>
    </row>
    <row r="83" spans="1:34">
      <c r="A83" s="42"/>
      <c r="B83" s="3" t="s">
        <v>36</v>
      </c>
      <c r="C83" s="3"/>
      <c r="D83" s="18"/>
      <c r="E83" s="2"/>
      <c r="F83" s="2"/>
      <c r="G83" s="2"/>
      <c r="H83" s="2"/>
      <c r="I83" s="1"/>
    </row>
    <row r="84" spans="1:34">
      <c r="A84" s="112"/>
      <c r="B84" s="27" t="s">
        <v>54</v>
      </c>
      <c r="C84" s="9" t="s">
        <v>12</v>
      </c>
      <c r="D84" s="1">
        <v>200</v>
      </c>
      <c r="E84" s="1">
        <v>2.8</v>
      </c>
      <c r="F84" s="1">
        <v>3.2</v>
      </c>
      <c r="G84" s="1">
        <v>9.5</v>
      </c>
      <c r="H84" s="1">
        <v>91</v>
      </c>
      <c r="I84" s="42" t="s">
        <v>61</v>
      </c>
    </row>
    <row r="85" spans="1:34">
      <c r="A85" s="110"/>
      <c r="B85" s="18" t="s">
        <v>57</v>
      </c>
      <c r="C85" s="37" t="s">
        <v>12</v>
      </c>
      <c r="D85" s="1">
        <v>80</v>
      </c>
      <c r="E85" s="1">
        <v>2.06</v>
      </c>
      <c r="F85" s="1">
        <v>13.2</v>
      </c>
      <c r="G85" s="1">
        <v>47.4</v>
      </c>
      <c r="H85" s="1">
        <v>289.3</v>
      </c>
      <c r="I85" s="52" t="s">
        <v>61</v>
      </c>
    </row>
    <row r="86" spans="1:34">
      <c r="A86" s="27"/>
      <c r="B86" s="27" t="s">
        <v>52</v>
      </c>
      <c r="C86" s="9" t="s">
        <v>12</v>
      </c>
      <c r="D86" s="56">
        <v>200</v>
      </c>
      <c r="E86" s="1">
        <v>0.8</v>
      </c>
      <c r="F86" s="1">
        <v>0.2</v>
      </c>
      <c r="G86" s="1">
        <v>7.5</v>
      </c>
      <c r="H86" s="1">
        <v>94</v>
      </c>
      <c r="I86" s="12">
        <v>82</v>
      </c>
    </row>
    <row r="87" spans="1:34">
      <c r="A87" s="27"/>
      <c r="B87" s="3" t="s">
        <v>9</v>
      </c>
      <c r="C87" s="11"/>
      <c r="D87" s="3">
        <f ca="1">SUM(D84:D110)</f>
        <v>400</v>
      </c>
      <c r="E87" s="3">
        <f>E84+E85+E86</f>
        <v>5.6599999999999993</v>
      </c>
      <c r="F87" s="3">
        <f>F85+F86</f>
        <v>13.399999999999999</v>
      </c>
      <c r="G87" s="3">
        <f>G85+G86</f>
        <v>54.9</v>
      </c>
      <c r="H87" s="3">
        <f>H84+H85+H86</f>
        <v>474.3</v>
      </c>
      <c r="I87" s="1"/>
    </row>
    <row r="88" spans="1:34">
      <c r="A88" s="18"/>
      <c r="B88" s="4" t="s">
        <v>10</v>
      </c>
      <c r="C88" s="4"/>
      <c r="D88" s="18"/>
      <c r="E88" s="3">
        <f>E74+E82+E86</f>
        <v>53.43</v>
      </c>
      <c r="F88" s="3">
        <f>F74+F82+F86</f>
        <v>50.260000000000005</v>
      </c>
      <c r="G88" s="3">
        <f>G74+G82+G86</f>
        <v>131.66</v>
      </c>
      <c r="H88" s="3">
        <f>H74+H82+H87</f>
        <v>1742.2</v>
      </c>
      <c r="I88" s="18"/>
    </row>
    <row r="89" spans="1:34" s="45" customFormat="1">
      <c r="A89" s="43" t="s">
        <v>19</v>
      </c>
      <c r="B89" s="43" t="s">
        <v>34</v>
      </c>
      <c r="C89" s="43"/>
      <c r="D89" s="44"/>
      <c r="E89" s="44"/>
      <c r="F89" s="44"/>
      <c r="G89" s="44"/>
      <c r="H89" s="44"/>
      <c r="I89" s="4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>
      <c r="A90" s="103" t="s">
        <v>45</v>
      </c>
      <c r="B90" s="13" t="s">
        <v>105</v>
      </c>
      <c r="C90" s="11" t="s">
        <v>12</v>
      </c>
      <c r="D90" s="42">
        <v>90</v>
      </c>
      <c r="E90" s="42">
        <v>11.5</v>
      </c>
      <c r="F90" s="42">
        <v>11.4</v>
      </c>
      <c r="G90" s="42">
        <v>3.9</v>
      </c>
      <c r="H90" s="42">
        <v>165.3</v>
      </c>
      <c r="I90" s="12">
        <v>368</v>
      </c>
    </row>
    <row r="91" spans="1:34">
      <c r="A91" s="104"/>
      <c r="B91" s="29" t="s">
        <v>30</v>
      </c>
      <c r="C91" s="1" t="s">
        <v>12</v>
      </c>
      <c r="D91" s="1">
        <v>150</v>
      </c>
      <c r="E91" s="1">
        <v>5.55</v>
      </c>
      <c r="F91" s="1">
        <v>4.95</v>
      </c>
      <c r="G91" s="1">
        <v>29.55</v>
      </c>
      <c r="H91" s="1">
        <v>184.5</v>
      </c>
      <c r="I91" s="1">
        <v>255</v>
      </c>
    </row>
    <row r="92" spans="1:34">
      <c r="A92" s="104"/>
      <c r="B92" s="13" t="s">
        <v>62</v>
      </c>
      <c r="C92" s="11" t="s">
        <v>12</v>
      </c>
      <c r="D92" s="54">
        <v>15</v>
      </c>
      <c r="E92" s="1">
        <v>0.08</v>
      </c>
      <c r="F92" s="1">
        <v>7.25</v>
      </c>
      <c r="G92" s="1">
        <v>0.13</v>
      </c>
      <c r="H92" s="1">
        <v>66.099999999999994</v>
      </c>
      <c r="I92" s="12">
        <v>79</v>
      </c>
    </row>
    <row r="93" spans="1:34">
      <c r="A93" s="104"/>
      <c r="B93" s="39" t="s">
        <v>14</v>
      </c>
      <c r="C93" s="55" t="s">
        <v>12</v>
      </c>
      <c r="D93" s="53">
        <v>200</v>
      </c>
      <c r="E93" s="53">
        <v>0.3</v>
      </c>
      <c r="F93" s="53">
        <v>0.1</v>
      </c>
      <c r="G93" s="53">
        <v>9.5</v>
      </c>
      <c r="H93" s="53">
        <v>40</v>
      </c>
      <c r="I93" s="58">
        <v>459</v>
      </c>
    </row>
    <row r="94" spans="1:34">
      <c r="A94" s="104"/>
      <c r="B94" s="29" t="s">
        <v>23</v>
      </c>
      <c r="C94" s="11" t="s">
        <v>12</v>
      </c>
      <c r="D94" s="1">
        <v>30</v>
      </c>
      <c r="E94" s="1">
        <v>2.25</v>
      </c>
      <c r="F94" s="1">
        <v>0.87</v>
      </c>
      <c r="G94" s="1">
        <v>15.42</v>
      </c>
      <c r="H94" s="1">
        <v>78.3</v>
      </c>
      <c r="I94" s="12">
        <v>576</v>
      </c>
    </row>
    <row r="95" spans="1:34">
      <c r="A95" s="22"/>
      <c r="B95" s="23" t="s">
        <v>0</v>
      </c>
      <c r="C95" s="9"/>
      <c r="D95" s="19">
        <f>SUM(D90:D94)</f>
        <v>485</v>
      </c>
      <c r="E95" s="19">
        <f>SUM(E90:E94)</f>
        <v>19.68</v>
      </c>
      <c r="F95" s="19">
        <f>SUM(F90:F94)</f>
        <v>24.570000000000004</v>
      </c>
      <c r="G95" s="19">
        <f>SUM(G90:G94)</f>
        <v>58.500000000000007</v>
      </c>
      <c r="H95" s="19">
        <f>SUM(H90:H94)</f>
        <v>534.19999999999993</v>
      </c>
      <c r="I95" s="22"/>
    </row>
    <row r="96" spans="1:34">
      <c r="A96" s="42"/>
      <c r="B96" s="19" t="s">
        <v>35</v>
      </c>
      <c r="C96" s="19"/>
      <c r="D96" s="35"/>
      <c r="E96" s="25"/>
      <c r="F96" s="25"/>
      <c r="G96" s="25"/>
      <c r="H96" s="25"/>
      <c r="I96" s="42"/>
    </row>
    <row r="97" spans="1:9">
      <c r="A97" s="112"/>
      <c r="B97" s="21" t="s">
        <v>82</v>
      </c>
      <c r="C97" s="11" t="s">
        <v>12</v>
      </c>
      <c r="D97" s="1">
        <v>80</v>
      </c>
      <c r="E97" s="1">
        <v>1.1599999999999999</v>
      </c>
      <c r="F97" s="1">
        <v>4.8</v>
      </c>
      <c r="G97" s="1">
        <v>6.72</v>
      </c>
      <c r="H97" s="1">
        <v>75.2</v>
      </c>
      <c r="I97" s="1">
        <v>1</v>
      </c>
    </row>
    <row r="98" spans="1:9" ht="25.5">
      <c r="A98" s="110"/>
      <c r="B98" s="21" t="s">
        <v>66</v>
      </c>
      <c r="C98" s="9" t="s">
        <v>12</v>
      </c>
      <c r="D98" s="68">
        <v>200</v>
      </c>
      <c r="E98" s="68">
        <v>2.1</v>
      </c>
      <c r="F98" s="68">
        <v>4.08</v>
      </c>
      <c r="G98" s="68">
        <v>10.6</v>
      </c>
      <c r="H98" s="68">
        <v>87.6</v>
      </c>
      <c r="I98" s="68">
        <v>100</v>
      </c>
    </row>
    <row r="99" spans="1:9">
      <c r="A99" s="110"/>
      <c r="B99" s="39" t="s">
        <v>72</v>
      </c>
      <c r="C99" s="37" t="s">
        <v>12</v>
      </c>
      <c r="D99" s="42">
        <v>240</v>
      </c>
      <c r="E99" s="42">
        <v>20.399999999999999</v>
      </c>
      <c r="F99" s="42">
        <v>22.8</v>
      </c>
      <c r="G99" s="42">
        <v>43.3</v>
      </c>
      <c r="H99" s="42">
        <v>460</v>
      </c>
      <c r="I99" s="42">
        <v>330</v>
      </c>
    </row>
    <row r="100" spans="1:9">
      <c r="A100" s="110"/>
      <c r="B100" s="36" t="s">
        <v>74</v>
      </c>
      <c r="C100" s="9" t="s">
        <v>12</v>
      </c>
      <c r="D100" s="42">
        <v>200</v>
      </c>
      <c r="E100" s="42">
        <v>0.67</v>
      </c>
      <c r="F100" s="42">
        <v>0.27</v>
      </c>
      <c r="G100" s="42">
        <v>18.3</v>
      </c>
      <c r="H100" s="42">
        <v>78</v>
      </c>
      <c r="I100" s="42">
        <v>496</v>
      </c>
    </row>
    <row r="101" spans="1:9">
      <c r="A101" s="110"/>
      <c r="B101" s="29" t="s">
        <v>15</v>
      </c>
      <c r="C101" s="11" t="s">
        <v>12</v>
      </c>
      <c r="D101" s="1">
        <v>30</v>
      </c>
      <c r="E101" s="1">
        <v>2.04</v>
      </c>
      <c r="F101" s="1">
        <v>0.39</v>
      </c>
      <c r="G101" s="1">
        <v>11.94</v>
      </c>
      <c r="H101" s="1">
        <v>59.4</v>
      </c>
      <c r="I101" s="1">
        <v>575</v>
      </c>
    </row>
    <row r="102" spans="1:9">
      <c r="A102" s="111"/>
      <c r="B102" s="29" t="s">
        <v>23</v>
      </c>
      <c r="C102" s="11" t="s">
        <v>12</v>
      </c>
      <c r="D102" s="1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2">
        <v>576</v>
      </c>
    </row>
    <row r="103" spans="1:9">
      <c r="A103" s="42"/>
      <c r="B103" s="28" t="s">
        <v>8</v>
      </c>
      <c r="C103" s="28"/>
      <c r="D103" s="19">
        <f>SUM(D97:D102)</f>
        <v>770</v>
      </c>
      <c r="E103" s="19">
        <f>SUM(E97:E102)</f>
        <v>27.869999999999997</v>
      </c>
      <c r="F103" s="19">
        <f>SUM(F97:F102)</f>
        <v>32.919999999999995</v>
      </c>
      <c r="G103" s="19">
        <f>SUM(G97:G102)</f>
        <v>101.14</v>
      </c>
      <c r="H103" s="19">
        <f>SUM(H97:H102)</f>
        <v>812.59999999999991</v>
      </c>
      <c r="I103" s="42"/>
    </row>
    <row r="104" spans="1:9">
      <c r="A104" s="42"/>
      <c r="B104" s="19" t="s">
        <v>36</v>
      </c>
      <c r="C104" s="19"/>
      <c r="D104" s="27"/>
      <c r="E104" s="25"/>
      <c r="F104" s="25"/>
      <c r="G104" s="25"/>
      <c r="H104" s="25"/>
      <c r="I104" s="42"/>
    </row>
    <row r="105" spans="1:9">
      <c r="A105" s="112"/>
      <c r="B105" s="36" t="s">
        <v>58</v>
      </c>
      <c r="C105" s="38" t="s">
        <v>12</v>
      </c>
      <c r="D105" s="1">
        <v>200</v>
      </c>
      <c r="E105" s="1">
        <v>1</v>
      </c>
      <c r="F105" s="1">
        <v>0</v>
      </c>
      <c r="G105" s="1">
        <v>0</v>
      </c>
      <c r="H105" s="1">
        <v>110</v>
      </c>
      <c r="I105" s="1">
        <v>518</v>
      </c>
    </row>
    <row r="106" spans="1:9">
      <c r="A106" s="110"/>
      <c r="B106" s="27" t="s">
        <v>100</v>
      </c>
      <c r="C106" s="37" t="s">
        <v>12</v>
      </c>
      <c r="D106" s="1">
        <v>80</v>
      </c>
      <c r="E106" s="1">
        <v>0.9</v>
      </c>
      <c r="F106" s="1">
        <v>26.2</v>
      </c>
      <c r="G106" s="1">
        <v>87.2</v>
      </c>
      <c r="H106" s="1">
        <v>159.30000000000001</v>
      </c>
      <c r="I106" s="42" t="s">
        <v>47</v>
      </c>
    </row>
    <row r="107" spans="1:9">
      <c r="A107" s="111"/>
      <c r="B107" s="27" t="s">
        <v>97</v>
      </c>
      <c r="C107" s="9" t="s">
        <v>12</v>
      </c>
      <c r="D107" s="56">
        <v>200</v>
      </c>
      <c r="E107" s="1">
        <v>0.8</v>
      </c>
      <c r="F107" s="1">
        <v>0.2</v>
      </c>
      <c r="G107" s="1">
        <v>7.5</v>
      </c>
      <c r="H107" s="1">
        <v>94</v>
      </c>
      <c r="I107" s="12">
        <v>82</v>
      </c>
    </row>
    <row r="108" spans="1:9">
      <c r="A108" s="27"/>
      <c r="B108" s="28" t="s">
        <v>9</v>
      </c>
      <c r="C108" s="28"/>
      <c r="D108" s="19">
        <f>SUM(D105:D107)</f>
        <v>480</v>
      </c>
      <c r="E108" s="19">
        <f>SUM(E105:E107)</f>
        <v>2.7</v>
      </c>
      <c r="F108" s="19">
        <f t="shared" ref="F108" si="0">SUM(F105:F107)</f>
        <v>26.4</v>
      </c>
      <c r="G108" s="19">
        <f>G105+G106+G107</f>
        <v>94.7</v>
      </c>
      <c r="H108" s="19">
        <f>H105+H106+H107</f>
        <v>363.3</v>
      </c>
      <c r="I108" s="27"/>
    </row>
    <row r="109" spans="1:9">
      <c r="A109" s="27"/>
      <c r="B109" s="28" t="s">
        <v>10</v>
      </c>
      <c r="C109" s="28"/>
      <c r="D109" s="27"/>
      <c r="E109" s="19">
        <f>E95+E103+E108</f>
        <v>50.25</v>
      </c>
      <c r="F109" s="19">
        <f>F95+F103+F108</f>
        <v>83.889999999999986</v>
      </c>
      <c r="G109" s="19">
        <f>G95+G103+G108</f>
        <v>254.34000000000003</v>
      </c>
      <c r="H109" s="19">
        <f>H95+H103+H108</f>
        <v>1710.0999999999997</v>
      </c>
      <c r="I109" s="27"/>
    </row>
    <row r="110" spans="1:9">
      <c r="A110" s="43" t="s">
        <v>69</v>
      </c>
      <c r="B110" s="43" t="s">
        <v>34</v>
      </c>
      <c r="C110" s="48"/>
      <c r="D110" s="48"/>
      <c r="E110" s="49"/>
      <c r="F110" s="50"/>
      <c r="G110" s="50"/>
      <c r="H110" s="51"/>
      <c r="I110" s="43"/>
    </row>
    <row r="111" spans="1:9" ht="25.5">
      <c r="A111" s="103" t="s">
        <v>41</v>
      </c>
      <c r="B111" s="8" t="s">
        <v>93</v>
      </c>
      <c r="C111" s="11" t="s">
        <v>12</v>
      </c>
      <c r="D111" s="42">
        <v>150</v>
      </c>
      <c r="E111" s="42">
        <v>23.7</v>
      </c>
      <c r="F111" s="42">
        <v>7.95</v>
      </c>
      <c r="G111" s="42">
        <v>26.86</v>
      </c>
      <c r="H111" s="42">
        <v>273</v>
      </c>
      <c r="I111" s="12">
        <v>286</v>
      </c>
    </row>
    <row r="112" spans="1:9">
      <c r="A112" s="104"/>
      <c r="B112" s="13" t="s">
        <v>33</v>
      </c>
      <c r="C112" s="11" t="s">
        <v>12</v>
      </c>
      <c r="D112" s="54">
        <v>20</v>
      </c>
      <c r="E112" s="1">
        <v>4.6399999999999997</v>
      </c>
      <c r="F112" s="1">
        <v>5.9</v>
      </c>
      <c r="G112" s="1">
        <v>0</v>
      </c>
      <c r="H112" s="1">
        <v>71.599999999999994</v>
      </c>
      <c r="I112" s="12">
        <v>75</v>
      </c>
    </row>
    <row r="113" spans="1:9">
      <c r="A113" s="104"/>
      <c r="B113" s="29" t="s">
        <v>23</v>
      </c>
      <c r="C113" s="11" t="s">
        <v>12</v>
      </c>
      <c r="D113" s="1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12">
        <v>111</v>
      </c>
    </row>
    <row r="114" spans="1:9">
      <c r="A114" s="104"/>
      <c r="B114" s="39" t="s">
        <v>78</v>
      </c>
      <c r="C114" s="55" t="s">
        <v>12</v>
      </c>
      <c r="D114" s="53">
        <v>200</v>
      </c>
      <c r="E114" s="53">
        <v>0.3</v>
      </c>
      <c r="F114" s="53">
        <v>0.1</v>
      </c>
      <c r="G114" s="53">
        <v>9.5</v>
      </c>
      <c r="H114" s="53">
        <v>40</v>
      </c>
      <c r="I114" s="58">
        <v>459</v>
      </c>
    </row>
    <row r="115" spans="1:9">
      <c r="A115" s="7"/>
      <c r="B115" s="31" t="s">
        <v>0</v>
      </c>
      <c r="C115" s="11"/>
      <c r="D115" s="62">
        <f>SUM(D111:D114)</f>
        <v>400</v>
      </c>
      <c r="E115" s="62">
        <f>SUM(E111:E114)</f>
        <v>30.14</v>
      </c>
      <c r="F115" s="62">
        <f>SUM(F111:F114)</f>
        <v>14.530000000000001</v>
      </c>
      <c r="G115" s="62">
        <f>G111+G112+G113+G114</f>
        <v>46.64</v>
      </c>
      <c r="H115" s="62">
        <f>H111+H112+H113+H114</f>
        <v>437</v>
      </c>
      <c r="I115" s="12"/>
    </row>
    <row r="116" spans="1:9">
      <c r="A116" s="69"/>
      <c r="B116" s="33" t="s">
        <v>35</v>
      </c>
      <c r="C116" s="33"/>
      <c r="D116" s="11"/>
      <c r="E116" s="17"/>
      <c r="F116" s="32"/>
      <c r="G116" s="32"/>
      <c r="H116" s="32"/>
      <c r="I116" s="12"/>
    </row>
    <row r="117" spans="1:9">
      <c r="A117" s="110"/>
      <c r="B117" s="21" t="s">
        <v>40</v>
      </c>
      <c r="C117" s="9" t="s">
        <v>12</v>
      </c>
      <c r="D117" s="42">
        <v>80</v>
      </c>
      <c r="E117" s="42">
        <v>1</v>
      </c>
      <c r="F117" s="42">
        <v>5</v>
      </c>
      <c r="G117" s="42">
        <v>6.5</v>
      </c>
      <c r="H117" s="42">
        <v>71.2</v>
      </c>
      <c r="I117" s="42">
        <v>22</v>
      </c>
    </row>
    <row r="118" spans="1:9" ht="25.5">
      <c r="A118" s="110"/>
      <c r="B118" s="21" t="s">
        <v>106</v>
      </c>
      <c r="C118" s="9" t="s">
        <v>12</v>
      </c>
      <c r="D118" s="68">
        <v>200</v>
      </c>
      <c r="E118" s="68">
        <v>2.3199999999999998</v>
      </c>
      <c r="F118" s="68">
        <v>4.1500000000000004</v>
      </c>
      <c r="G118" s="68">
        <v>9.76</v>
      </c>
      <c r="H118" s="68">
        <v>126</v>
      </c>
      <c r="I118" s="68">
        <v>129</v>
      </c>
    </row>
    <row r="119" spans="1:9">
      <c r="A119" s="110"/>
      <c r="B119" s="39" t="s">
        <v>39</v>
      </c>
      <c r="C119" s="37" t="s">
        <v>12</v>
      </c>
      <c r="D119" s="42">
        <v>90</v>
      </c>
      <c r="E119" s="42">
        <v>8.5500000000000007</v>
      </c>
      <c r="F119" s="42">
        <v>9.9</v>
      </c>
      <c r="G119" s="42">
        <v>1.9</v>
      </c>
      <c r="H119" s="42">
        <v>131.69999999999999</v>
      </c>
      <c r="I119" s="42">
        <v>367</v>
      </c>
    </row>
    <row r="120" spans="1:9">
      <c r="A120" s="110"/>
      <c r="B120" s="35" t="s">
        <v>25</v>
      </c>
      <c r="C120" s="37" t="s">
        <v>12</v>
      </c>
      <c r="D120" s="42">
        <v>150</v>
      </c>
      <c r="E120" s="42">
        <v>8.5</v>
      </c>
      <c r="F120" s="42">
        <v>6.3</v>
      </c>
      <c r="G120" s="42">
        <v>37.700000000000003</v>
      </c>
      <c r="H120" s="42">
        <v>271</v>
      </c>
      <c r="I120" s="42">
        <v>202</v>
      </c>
    </row>
    <row r="121" spans="1:9">
      <c r="A121" s="110"/>
      <c r="B121" s="18" t="s">
        <v>31</v>
      </c>
      <c r="C121" s="9" t="s">
        <v>12</v>
      </c>
      <c r="D121" s="1">
        <v>200</v>
      </c>
      <c r="E121" s="1">
        <v>0.1</v>
      </c>
      <c r="F121" s="1">
        <v>0.1</v>
      </c>
      <c r="G121" s="1">
        <v>11.1</v>
      </c>
      <c r="H121" s="1">
        <v>46</v>
      </c>
      <c r="I121" s="1">
        <v>486</v>
      </c>
    </row>
    <row r="122" spans="1:9">
      <c r="A122" s="111"/>
      <c r="B122" s="29" t="s">
        <v>15</v>
      </c>
      <c r="C122" s="11" t="s">
        <v>12</v>
      </c>
      <c r="D122" s="1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">
        <v>110</v>
      </c>
    </row>
    <row r="123" spans="1:9">
      <c r="A123" s="42"/>
      <c r="B123" s="29" t="s">
        <v>23</v>
      </c>
      <c r="C123" s="11" t="s">
        <v>12</v>
      </c>
      <c r="D123" s="1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2">
        <v>111</v>
      </c>
    </row>
    <row r="124" spans="1:9">
      <c r="A124" s="42"/>
      <c r="B124" s="34" t="s">
        <v>8</v>
      </c>
      <c r="C124" s="3"/>
      <c r="D124" s="3">
        <f>D117+D118+D119+D121+D122+D123</f>
        <v>620</v>
      </c>
      <c r="E124" s="3">
        <f>SUM(E118:E123)</f>
        <v>22.950000000000003</v>
      </c>
      <c r="F124" s="3">
        <f>SUM(F118:F123)</f>
        <v>21.39</v>
      </c>
      <c r="G124" s="3">
        <f>G117+G118+G119+G120+G121+G122+G123</f>
        <v>87.44</v>
      </c>
      <c r="H124" s="3">
        <f>SUM(H118:H123)</f>
        <v>681.4</v>
      </c>
      <c r="I124" s="1"/>
    </row>
    <row r="125" spans="1:9">
      <c r="A125" s="112"/>
      <c r="B125" s="3" t="s">
        <v>36</v>
      </c>
      <c r="C125" s="3"/>
      <c r="D125" s="1"/>
      <c r="E125" s="2"/>
      <c r="F125" s="2"/>
      <c r="G125" s="2"/>
      <c r="H125" s="2"/>
      <c r="I125" s="1"/>
    </row>
    <row r="126" spans="1:9">
      <c r="A126" s="110"/>
      <c r="B126" s="36" t="s">
        <v>27</v>
      </c>
      <c r="C126" s="38" t="s">
        <v>12</v>
      </c>
      <c r="D126" s="1">
        <v>200</v>
      </c>
      <c r="E126" s="1">
        <v>1</v>
      </c>
      <c r="F126" s="1">
        <v>0</v>
      </c>
      <c r="G126" s="1">
        <v>0</v>
      </c>
      <c r="H126" s="1">
        <v>110</v>
      </c>
      <c r="I126" s="1">
        <v>518</v>
      </c>
    </row>
    <row r="127" spans="1:9">
      <c r="A127" s="111"/>
      <c r="B127" s="36" t="s">
        <v>99</v>
      </c>
      <c r="C127" s="38" t="s">
        <v>12</v>
      </c>
      <c r="D127" s="1">
        <v>80</v>
      </c>
      <c r="E127" s="1">
        <v>0.9</v>
      </c>
      <c r="F127" s="1">
        <v>26.2</v>
      </c>
      <c r="G127" s="1">
        <v>87.2</v>
      </c>
      <c r="H127" s="1">
        <v>319</v>
      </c>
      <c r="I127" s="1" t="s">
        <v>61</v>
      </c>
    </row>
    <row r="128" spans="1:9">
      <c r="A128" s="1"/>
      <c r="B128" s="29" t="s">
        <v>98</v>
      </c>
      <c r="C128" s="11" t="s">
        <v>12</v>
      </c>
      <c r="D128" s="56">
        <v>200</v>
      </c>
      <c r="E128" s="1">
        <v>0.8</v>
      </c>
      <c r="F128" s="1">
        <v>0.2</v>
      </c>
      <c r="G128" s="1">
        <v>7.5</v>
      </c>
      <c r="H128" s="1">
        <v>94</v>
      </c>
      <c r="I128" s="12">
        <v>82</v>
      </c>
    </row>
    <row r="129" spans="1:9">
      <c r="A129" s="1"/>
      <c r="B129" s="3" t="s">
        <v>9</v>
      </c>
      <c r="C129" s="11"/>
      <c r="D129" s="3">
        <f ca="1">SUM(D125:D149)</f>
        <v>400</v>
      </c>
      <c r="E129" s="3">
        <f>E125+E126+E127</f>
        <v>1.9</v>
      </c>
      <c r="F129" s="3">
        <f>F125+F126+F127</f>
        <v>26.2</v>
      </c>
      <c r="G129" s="3">
        <f>G126+G127+G128</f>
        <v>94.7</v>
      </c>
      <c r="H129" s="3">
        <f>H126+H127+H128</f>
        <v>523</v>
      </c>
      <c r="I129" s="1"/>
    </row>
    <row r="130" spans="1:9">
      <c r="A130" s="1"/>
      <c r="B130" s="3" t="s">
        <v>10</v>
      </c>
      <c r="C130" s="3"/>
      <c r="D130" s="1"/>
      <c r="E130" s="3">
        <f>E115+E124+E129</f>
        <v>54.99</v>
      </c>
      <c r="F130" s="3">
        <f>F115+F124+F129</f>
        <v>62.120000000000005</v>
      </c>
      <c r="G130" s="3">
        <f>G115+G124+G129</f>
        <v>228.77999999999997</v>
      </c>
      <c r="H130" s="3">
        <f>H115+H124+H129</f>
        <v>1641.4</v>
      </c>
      <c r="I130" s="1"/>
    </row>
    <row r="131" spans="1:9">
      <c r="A131" s="46" t="s">
        <v>71</v>
      </c>
      <c r="B131" s="43" t="s">
        <v>34</v>
      </c>
      <c r="C131" s="43"/>
      <c r="D131" s="47"/>
      <c r="E131" s="47"/>
      <c r="F131" s="47"/>
      <c r="G131" s="47"/>
      <c r="H131" s="47"/>
      <c r="I131" s="46"/>
    </row>
    <row r="132" spans="1:9">
      <c r="A132" s="112" t="s">
        <v>42</v>
      </c>
      <c r="B132" s="18" t="s">
        <v>101</v>
      </c>
      <c r="C132" s="11" t="s">
        <v>12</v>
      </c>
      <c r="D132" s="1">
        <v>150</v>
      </c>
      <c r="E132" s="1">
        <v>18.600000000000001</v>
      </c>
      <c r="F132" s="1">
        <v>22.4</v>
      </c>
      <c r="G132" s="1">
        <v>3</v>
      </c>
      <c r="H132" s="1">
        <v>240</v>
      </c>
      <c r="I132" s="1">
        <v>275</v>
      </c>
    </row>
    <row r="133" spans="1:9">
      <c r="A133" s="110"/>
      <c r="B133" s="13" t="s">
        <v>62</v>
      </c>
      <c r="C133" s="11" t="s">
        <v>12</v>
      </c>
      <c r="D133" s="54">
        <v>15</v>
      </c>
      <c r="E133" s="1">
        <v>0.08</v>
      </c>
      <c r="F133" s="1">
        <v>7.25</v>
      </c>
      <c r="G133" s="1">
        <v>0.13</v>
      </c>
      <c r="H133" s="1">
        <v>66.099999999999994</v>
      </c>
      <c r="I133" s="12">
        <v>79</v>
      </c>
    </row>
    <row r="134" spans="1:9">
      <c r="A134" s="110"/>
      <c r="B134" s="13" t="s">
        <v>7</v>
      </c>
      <c r="C134" s="11" t="s">
        <v>12</v>
      </c>
      <c r="D134" s="1">
        <v>200</v>
      </c>
      <c r="E134" s="1">
        <v>2.8</v>
      </c>
      <c r="F134" s="1">
        <v>2.5</v>
      </c>
      <c r="G134" s="1">
        <v>13.6</v>
      </c>
      <c r="H134" s="1">
        <v>88</v>
      </c>
      <c r="I134" s="63">
        <v>465</v>
      </c>
    </row>
    <row r="135" spans="1:9">
      <c r="A135" s="110"/>
      <c r="B135" s="29" t="s">
        <v>23</v>
      </c>
      <c r="C135" s="11" t="s">
        <v>12</v>
      </c>
      <c r="D135" s="1">
        <v>30</v>
      </c>
      <c r="E135" s="1">
        <v>2.25</v>
      </c>
      <c r="F135" s="1">
        <v>0.87</v>
      </c>
      <c r="G135" s="1">
        <v>15.42</v>
      </c>
      <c r="H135" s="1">
        <v>78.3</v>
      </c>
      <c r="I135" s="12">
        <v>576</v>
      </c>
    </row>
    <row r="136" spans="1:9">
      <c r="A136" s="22"/>
      <c r="B136" s="23" t="s">
        <v>0</v>
      </c>
      <c r="C136" s="9"/>
      <c r="D136" s="19">
        <f>SUM(D132:D135)</f>
        <v>395</v>
      </c>
      <c r="E136" s="19">
        <f>SUM(E132:E135)</f>
        <v>23.73</v>
      </c>
      <c r="F136" s="19">
        <f>SUM(F132:F135)</f>
        <v>33.019999999999996</v>
      </c>
      <c r="G136" s="19">
        <f>SUM(G132:G135)</f>
        <v>32.15</v>
      </c>
      <c r="H136" s="19">
        <f>SUM(H132:H135)</f>
        <v>472.40000000000003</v>
      </c>
      <c r="I136" s="22"/>
    </row>
    <row r="137" spans="1:9">
      <c r="A137" s="42"/>
      <c r="B137" s="19" t="s">
        <v>35</v>
      </c>
      <c r="C137" s="19"/>
      <c r="D137" s="20"/>
      <c r="E137" s="24"/>
      <c r="F137" s="24"/>
      <c r="G137" s="24"/>
      <c r="H137" s="24"/>
      <c r="I137" s="42"/>
    </row>
    <row r="138" spans="1:9">
      <c r="A138" s="110"/>
      <c r="B138" s="18" t="s">
        <v>85</v>
      </c>
      <c r="C138" s="11" t="s">
        <v>12</v>
      </c>
      <c r="D138" s="1">
        <v>80</v>
      </c>
      <c r="E138" s="1">
        <v>0.72</v>
      </c>
      <c r="F138" s="1">
        <v>4.8</v>
      </c>
      <c r="G138" s="1">
        <v>2.08</v>
      </c>
      <c r="H138" s="1">
        <v>74.8</v>
      </c>
      <c r="I138" s="1">
        <v>13</v>
      </c>
    </row>
    <row r="139" spans="1:9" ht="25.5">
      <c r="A139" s="110"/>
      <c r="B139" s="10" t="s">
        <v>64</v>
      </c>
      <c r="C139" s="11" t="s">
        <v>12</v>
      </c>
      <c r="D139" s="67">
        <v>200</v>
      </c>
      <c r="E139" s="67">
        <v>5.04</v>
      </c>
      <c r="F139" s="67">
        <v>2.86</v>
      </c>
      <c r="G139" s="67">
        <v>11.68</v>
      </c>
      <c r="H139" s="67">
        <v>92.6</v>
      </c>
      <c r="I139" s="67">
        <v>143</v>
      </c>
    </row>
    <row r="140" spans="1:9">
      <c r="A140" s="110"/>
      <c r="B140" s="10" t="s">
        <v>63</v>
      </c>
      <c r="C140" s="11" t="s">
        <v>12</v>
      </c>
      <c r="D140" s="1">
        <v>90</v>
      </c>
      <c r="E140" s="1">
        <v>12</v>
      </c>
      <c r="F140" s="1">
        <v>3.6</v>
      </c>
      <c r="G140" s="1">
        <v>3</v>
      </c>
      <c r="H140" s="1">
        <v>125</v>
      </c>
      <c r="I140" s="1">
        <v>298</v>
      </c>
    </row>
    <row r="141" spans="1:9">
      <c r="A141" s="110"/>
      <c r="B141" s="29" t="s">
        <v>13</v>
      </c>
      <c r="C141" s="1" t="s">
        <v>12</v>
      </c>
      <c r="D141" s="1">
        <v>180</v>
      </c>
      <c r="E141" s="1">
        <v>4.05</v>
      </c>
      <c r="F141" s="1">
        <v>6</v>
      </c>
      <c r="G141" s="1">
        <v>8.6999999999999993</v>
      </c>
      <c r="H141" s="1">
        <v>135</v>
      </c>
      <c r="I141" s="1">
        <v>480</v>
      </c>
    </row>
    <row r="142" spans="1:9">
      <c r="A142" s="110"/>
      <c r="B142" s="36" t="s">
        <v>26</v>
      </c>
      <c r="C142" s="9" t="s">
        <v>12</v>
      </c>
      <c r="D142" s="42">
        <v>200</v>
      </c>
      <c r="E142" s="42">
        <v>0.5</v>
      </c>
      <c r="F142" s="42">
        <v>0</v>
      </c>
      <c r="G142" s="42">
        <v>27</v>
      </c>
      <c r="H142" s="42">
        <v>72</v>
      </c>
      <c r="I142" s="42">
        <v>494</v>
      </c>
    </row>
    <row r="143" spans="1:9">
      <c r="A143" s="110"/>
      <c r="B143" s="29" t="s">
        <v>15</v>
      </c>
      <c r="C143" s="11" t="s">
        <v>12</v>
      </c>
      <c r="D143" s="1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">
        <v>110</v>
      </c>
    </row>
    <row r="144" spans="1:9">
      <c r="A144" s="111"/>
      <c r="B144" s="29" t="s">
        <v>23</v>
      </c>
      <c r="C144" s="11" t="s">
        <v>12</v>
      </c>
      <c r="D144" s="1">
        <v>40</v>
      </c>
      <c r="E144" s="1">
        <v>1.1599999999999999</v>
      </c>
      <c r="F144" s="1">
        <v>1.06</v>
      </c>
      <c r="G144" s="1">
        <v>22.56</v>
      </c>
      <c r="H144" s="1">
        <v>104.8</v>
      </c>
      <c r="I144" s="12">
        <v>111</v>
      </c>
    </row>
    <row r="145" spans="1:9">
      <c r="A145" s="42"/>
      <c r="B145" s="28" t="s">
        <v>8</v>
      </c>
      <c r="C145" s="28"/>
      <c r="D145" s="19">
        <f>SUM(D138:D144)</f>
        <v>820</v>
      </c>
      <c r="E145" s="19">
        <f>SUM(E138:E144)</f>
        <v>25.45</v>
      </c>
      <c r="F145" s="19">
        <f>SUM(F138:F144)</f>
        <v>18.679999999999996</v>
      </c>
      <c r="G145" s="19">
        <f>SUM(G138:G144)</f>
        <v>85.22</v>
      </c>
      <c r="H145" s="19">
        <f>H138+H139+H140+H141+H142+H143+H144</f>
        <v>658.49999999999989</v>
      </c>
      <c r="I145" s="42"/>
    </row>
    <row r="146" spans="1:9">
      <c r="A146" s="42"/>
      <c r="B146" s="19" t="s">
        <v>36</v>
      </c>
      <c r="C146" s="19"/>
      <c r="D146" s="42"/>
      <c r="E146" s="26"/>
      <c r="F146" s="26"/>
      <c r="G146" s="26"/>
      <c r="H146" s="25"/>
      <c r="I146" s="42"/>
    </row>
    <row r="147" spans="1:9">
      <c r="A147" s="112"/>
      <c r="B147" s="27" t="s">
        <v>54</v>
      </c>
      <c r="C147" s="9" t="s">
        <v>12</v>
      </c>
      <c r="D147" s="1">
        <v>200</v>
      </c>
      <c r="E147" s="1">
        <v>2.8</v>
      </c>
      <c r="F147" s="1">
        <v>3.2</v>
      </c>
      <c r="G147" s="1">
        <v>9.5</v>
      </c>
      <c r="H147" s="1">
        <v>91</v>
      </c>
      <c r="I147" s="42" t="s">
        <v>47</v>
      </c>
    </row>
    <row r="148" spans="1:9">
      <c r="A148" s="110"/>
      <c r="B148" s="27" t="s">
        <v>59</v>
      </c>
      <c r="C148" s="9" t="s">
        <v>12</v>
      </c>
      <c r="D148" s="1">
        <v>80</v>
      </c>
      <c r="E148" s="1">
        <v>2.06</v>
      </c>
      <c r="F148" s="1">
        <v>13.2</v>
      </c>
      <c r="G148" s="1">
        <v>47.4</v>
      </c>
      <c r="H148" s="1">
        <v>295</v>
      </c>
      <c r="I148" s="42" t="s">
        <v>47</v>
      </c>
    </row>
    <row r="149" spans="1:9">
      <c r="A149" s="111"/>
      <c r="B149" s="27" t="s">
        <v>52</v>
      </c>
      <c r="C149" s="9" t="s">
        <v>12</v>
      </c>
      <c r="D149" s="56">
        <v>150</v>
      </c>
      <c r="E149" s="1">
        <v>0.8</v>
      </c>
      <c r="F149" s="1">
        <v>0.2</v>
      </c>
      <c r="G149" s="1">
        <v>7.5</v>
      </c>
      <c r="H149" s="1">
        <v>94</v>
      </c>
      <c r="I149" s="12">
        <v>82</v>
      </c>
    </row>
    <row r="150" spans="1:9">
      <c r="A150" s="27"/>
      <c r="B150" s="28" t="s">
        <v>9</v>
      </c>
      <c r="C150" s="9" t="s">
        <v>12</v>
      </c>
      <c r="D150" s="19">
        <f>SUM(D147:D149)</f>
        <v>430</v>
      </c>
      <c r="E150" s="19">
        <f>SUM(E147:E149)</f>
        <v>5.6599999999999993</v>
      </c>
      <c r="F150" s="19">
        <f>SUM(F147:F149)</f>
        <v>16.599999999999998</v>
      </c>
      <c r="G150" s="19">
        <f>SUM(G147:G149)</f>
        <v>64.400000000000006</v>
      </c>
      <c r="H150" s="19">
        <f>SUM(H147:H149)</f>
        <v>480</v>
      </c>
      <c r="I150" s="27"/>
    </row>
    <row r="151" spans="1:9">
      <c r="A151" s="27"/>
      <c r="B151" s="28" t="s">
        <v>10</v>
      </c>
      <c r="C151" s="28"/>
      <c r="D151" s="42"/>
      <c r="E151" s="19">
        <f>E136+E145+E150</f>
        <v>54.839999999999996</v>
      </c>
      <c r="F151" s="19">
        <f>F136+F145+F150</f>
        <v>68.299999999999983</v>
      </c>
      <c r="G151" s="19">
        <f>G136+G145+G150</f>
        <v>181.77</v>
      </c>
      <c r="H151" s="19">
        <f>H136+H145+H150</f>
        <v>1610.8999999999999</v>
      </c>
      <c r="I151" s="27"/>
    </row>
    <row r="152" spans="1:9">
      <c r="A152" s="43" t="s">
        <v>73</v>
      </c>
      <c r="B152" s="43" t="s">
        <v>34</v>
      </c>
      <c r="C152" s="43"/>
      <c r="D152" s="44"/>
      <c r="E152" s="44"/>
      <c r="F152" s="44"/>
      <c r="G152" s="44"/>
      <c r="H152" s="44"/>
      <c r="I152" s="43"/>
    </row>
    <row r="153" spans="1:9">
      <c r="A153" s="116"/>
      <c r="B153" s="29" t="s">
        <v>94</v>
      </c>
      <c r="C153" s="1" t="s">
        <v>12</v>
      </c>
      <c r="D153" s="1">
        <v>200</v>
      </c>
      <c r="E153" s="1">
        <v>12</v>
      </c>
      <c r="F153" s="1">
        <v>10</v>
      </c>
      <c r="G153" s="1">
        <v>35.299999999999997</v>
      </c>
      <c r="H153" s="1">
        <v>284.39999999999998</v>
      </c>
      <c r="I153" s="1">
        <v>259</v>
      </c>
    </row>
    <row r="154" spans="1:9">
      <c r="A154" s="116"/>
      <c r="B154" s="13" t="s">
        <v>103</v>
      </c>
      <c r="C154" s="11" t="s">
        <v>12</v>
      </c>
      <c r="D154" s="79" t="s">
        <v>107</v>
      </c>
      <c r="E154" s="1">
        <v>1.6</v>
      </c>
      <c r="F154" s="1">
        <v>3.8</v>
      </c>
      <c r="G154" s="1">
        <v>23.4</v>
      </c>
      <c r="H154" s="1">
        <v>134</v>
      </c>
      <c r="I154" s="12">
        <v>72</v>
      </c>
    </row>
    <row r="155" spans="1:9">
      <c r="A155" s="116"/>
      <c r="B155" s="39" t="s">
        <v>14</v>
      </c>
      <c r="C155" s="55" t="s">
        <v>12</v>
      </c>
      <c r="D155" s="53">
        <v>200</v>
      </c>
      <c r="E155" s="53">
        <v>0.3</v>
      </c>
      <c r="F155" s="53">
        <v>0.1</v>
      </c>
      <c r="G155" s="53">
        <v>9.5</v>
      </c>
      <c r="H155" s="53">
        <v>40</v>
      </c>
      <c r="I155" s="58">
        <v>459</v>
      </c>
    </row>
    <row r="156" spans="1:9">
      <c r="A156" s="116"/>
      <c r="B156" s="29" t="s">
        <v>23</v>
      </c>
      <c r="C156" s="11" t="s">
        <v>12</v>
      </c>
      <c r="D156" s="1">
        <v>20</v>
      </c>
      <c r="E156" s="1">
        <v>2.5</v>
      </c>
      <c r="F156" s="1">
        <v>1</v>
      </c>
      <c r="G156" s="1">
        <v>7.8</v>
      </c>
      <c r="H156" s="1">
        <v>42.1</v>
      </c>
      <c r="I156" s="12">
        <v>111</v>
      </c>
    </row>
    <row r="157" spans="1:9">
      <c r="A157" s="42"/>
      <c r="B157" s="23" t="s">
        <v>0</v>
      </c>
      <c r="C157" s="9"/>
      <c r="D157" s="19">
        <f>SUM(D153:D156)</f>
        <v>420</v>
      </c>
      <c r="E157" s="19">
        <f>SUM(E153:E156)</f>
        <v>16.399999999999999</v>
      </c>
      <c r="F157" s="19">
        <f>SUM(F153:F156)</f>
        <v>14.9</v>
      </c>
      <c r="G157" s="19">
        <f>SUM(G153:G156)</f>
        <v>75.999999999999986</v>
      </c>
      <c r="H157" s="19">
        <f>SUM(H153:H156)</f>
        <v>500.5</v>
      </c>
      <c r="I157" s="22"/>
    </row>
    <row r="158" spans="1:9">
      <c r="A158" s="103"/>
      <c r="B158" s="19" t="s">
        <v>35</v>
      </c>
      <c r="C158" s="19"/>
      <c r="D158" s="20"/>
      <c r="E158" s="24"/>
      <c r="F158" s="24"/>
      <c r="G158" s="24"/>
      <c r="H158" s="24"/>
      <c r="I158" s="42"/>
    </row>
    <row r="159" spans="1:9" ht="25.5">
      <c r="A159" s="104"/>
      <c r="B159" s="36" t="s">
        <v>102</v>
      </c>
      <c r="C159" s="38" t="s">
        <v>12</v>
      </c>
      <c r="D159" s="56">
        <v>80</v>
      </c>
      <c r="E159" s="67">
        <v>1.8</v>
      </c>
      <c r="F159" s="67">
        <v>4.8</v>
      </c>
      <c r="G159" s="67">
        <v>2.8</v>
      </c>
      <c r="H159" s="67">
        <v>58.4</v>
      </c>
      <c r="I159" s="66">
        <v>18</v>
      </c>
    </row>
    <row r="160" spans="1:9" ht="25.5">
      <c r="A160" s="104"/>
      <c r="B160" s="21" t="s">
        <v>86</v>
      </c>
      <c r="C160" s="9" t="s">
        <v>12</v>
      </c>
      <c r="D160" s="42">
        <v>200</v>
      </c>
      <c r="E160" s="42">
        <v>1.2</v>
      </c>
      <c r="F160" s="42">
        <v>3.6</v>
      </c>
      <c r="G160" s="42">
        <v>3</v>
      </c>
      <c r="H160" s="42">
        <v>79.599999999999994</v>
      </c>
      <c r="I160" s="42">
        <v>104</v>
      </c>
    </row>
    <row r="161" spans="1:9">
      <c r="A161" s="104"/>
      <c r="B161" s="13" t="s">
        <v>76</v>
      </c>
      <c r="C161" s="11" t="s">
        <v>12</v>
      </c>
      <c r="D161" s="1">
        <v>240</v>
      </c>
      <c r="E161" s="1">
        <v>22.56</v>
      </c>
      <c r="F161" s="1">
        <v>17.16</v>
      </c>
      <c r="G161" s="1">
        <v>31</v>
      </c>
      <c r="H161" s="1">
        <v>368.4</v>
      </c>
      <c r="I161" s="1">
        <v>328</v>
      </c>
    </row>
    <row r="162" spans="1:9">
      <c r="A162" s="114"/>
      <c r="B162" s="36" t="s">
        <v>26</v>
      </c>
      <c r="C162" s="9" t="s">
        <v>12</v>
      </c>
      <c r="D162" s="42">
        <v>200</v>
      </c>
      <c r="E162" s="42">
        <v>0.5</v>
      </c>
      <c r="F162" s="42">
        <v>0</v>
      </c>
      <c r="G162" s="42">
        <v>27</v>
      </c>
      <c r="H162" s="42">
        <v>110</v>
      </c>
      <c r="I162" s="42">
        <v>508</v>
      </c>
    </row>
    <row r="163" spans="1:9">
      <c r="A163" s="42"/>
      <c r="B163" s="29" t="s">
        <v>15</v>
      </c>
      <c r="C163" s="11" t="s">
        <v>12</v>
      </c>
      <c r="D163" s="1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">
        <v>110</v>
      </c>
    </row>
    <row r="164" spans="1:9">
      <c r="A164" s="42"/>
      <c r="B164" s="29" t="s">
        <v>23</v>
      </c>
      <c r="C164" s="11" t="s">
        <v>12</v>
      </c>
      <c r="D164" s="1">
        <v>30</v>
      </c>
      <c r="E164" s="1">
        <v>3</v>
      </c>
      <c r="F164" s="1">
        <v>1.06</v>
      </c>
      <c r="G164" s="1">
        <v>12.4</v>
      </c>
      <c r="H164" s="1">
        <v>78.599999999999994</v>
      </c>
      <c r="I164" s="63">
        <v>111</v>
      </c>
    </row>
    <row r="165" spans="1:9">
      <c r="A165" s="112"/>
      <c r="B165" s="28" t="s">
        <v>8</v>
      </c>
      <c r="C165" s="28"/>
      <c r="D165" s="19">
        <f>SUM(D159:D164)</f>
        <v>780</v>
      </c>
      <c r="E165" s="19">
        <f>SUM(E159:E164)</f>
        <v>31.04</v>
      </c>
      <c r="F165" s="19">
        <f>SUM(F159:F164)</f>
        <v>26.98</v>
      </c>
      <c r="G165" s="19">
        <f>SUM(G159:G164)</f>
        <v>86.4</v>
      </c>
      <c r="H165" s="19">
        <f>SUM(H159:H164)</f>
        <v>749.3</v>
      </c>
      <c r="I165" s="42"/>
    </row>
    <row r="166" spans="1:9">
      <c r="A166" s="111"/>
      <c r="B166" s="19" t="s">
        <v>36</v>
      </c>
      <c r="C166" s="19"/>
      <c r="D166" s="42"/>
      <c r="E166" s="26"/>
      <c r="F166" s="26"/>
      <c r="G166" s="26"/>
      <c r="H166" s="25"/>
      <c r="I166" s="42"/>
    </row>
    <row r="167" spans="1:9">
      <c r="A167" s="27"/>
      <c r="B167" s="36" t="s">
        <v>32</v>
      </c>
      <c r="C167" s="38" t="s">
        <v>12</v>
      </c>
      <c r="D167" s="1">
        <v>200</v>
      </c>
      <c r="E167" s="1">
        <v>1</v>
      </c>
      <c r="F167" s="1">
        <v>0</v>
      </c>
      <c r="G167" s="1">
        <v>0</v>
      </c>
      <c r="H167" s="1">
        <v>110</v>
      </c>
      <c r="I167" s="1">
        <v>518</v>
      </c>
    </row>
    <row r="168" spans="1:9">
      <c r="A168" s="27"/>
      <c r="B168" s="27" t="s">
        <v>51</v>
      </c>
      <c r="C168" s="9" t="s">
        <v>12</v>
      </c>
      <c r="D168" s="1">
        <v>80</v>
      </c>
      <c r="E168" s="1">
        <v>2.06</v>
      </c>
      <c r="F168" s="1">
        <v>13.2</v>
      </c>
      <c r="G168" s="1">
        <v>47.4</v>
      </c>
      <c r="H168" s="1">
        <v>367.8</v>
      </c>
      <c r="I168" s="42" t="s">
        <v>47</v>
      </c>
    </row>
    <row r="169" spans="1:9">
      <c r="A169" s="27"/>
      <c r="B169" s="29" t="s">
        <v>48</v>
      </c>
      <c r="C169" s="11" t="s">
        <v>12</v>
      </c>
      <c r="D169" s="56">
        <v>200</v>
      </c>
      <c r="E169" s="1">
        <v>0.8</v>
      </c>
      <c r="F169" s="1">
        <v>0.2</v>
      </c>
      <c r="G169" s="1">
        <v>7.5</v>
      </c>
      <c r="H169" s="1">
        <v>112.8</v>
      </c>
      <c r="I169" s="12">
        <v>82</v>
      </c>
    </row>
    <row r="170" spans="1:9">
      <c r="A170" s="27"/>
      <c r="B170" s="3" t="s">
        <v>9</v>
      </c>
      <c r="C170" s="11"/>
      <c r="D170" s="3">
        <f ca="1">SUM(D167:D194)</f>
        <v>400</v>
      </c>
      <c r="E170" s="3">
        <f>E167+E168+E169</f>
        <v>3.8600000000000003</v>
      </c>
      <c r="F170" s="3">
        <f>F168+F169</f>
        <v>13.399999999999999</v>
      </c>
      <c r="G170" s="3">
        <f>G168+G169</f>
        <v>54.9</v>
      </c>
      <c r="H170" s="3">
        <f>H167+H168+H169</f>
        <v>590.6</v>
      </c>
      <c r="I170" s="1"/>
    </row>
    <row r="171" spans="1:9">
      <c r="A171" s="27"/>
      <c r="B171" s="3" t="s">
        <v>10</v>
      </c>
      <c r="C171" s="3"/>
      <c r="D171" s="1"/>
      <c r="E171" s="3">
        <f>E157+E165+E170</f>
        <v>51.3</v>
      </c>
      <c r="F171" s="3">
        <f>F157+F165+F170</f>
        <v>55.28</v>
      </c>
      <c r="G171" s="3">
        <v>171.9</v>
      </c>
      <c r="H171" s="3">
        <f>H157+H165+H170</f>
        <v>1840.4</v>
      </c>
      <c r="I171" s="1"/>
    </row>
    <row r="172" spans="1:9">
      <c r="A172" s="43" t="s">
        <v>75</v>
      </c>
      <c r="B172" s="43" t="s">
        <v>34</v>
      </c>
      <c r="C172" s="59"/>
      <c r="D172" s="59"/>
      <c r="E172" s="60"/>
      <c r="F172" s="60"/>
      <c r="G172" s="60"/>
      <c r="H172" s="60"/>
      <c r="I172" s="61"/>
    </row>
    <row r="173" spans="1:9">
      <c r="A173" s="112" t="s">
        <v>44</v>
      </c>
      <c r="B173" s="73" t="s">
        <v>87</v>
      </c>
      <c r="C173" s="74" t="s">
        <v>12</v>
      </c>
      <c r="D173" s="75">
        <v>180</v>
      </c>
      <c r="E173" s="76">
        <v>7.4</v>
      </c>
      <c r="F173" s="76">
        <v>8</v>
      </c>
      <c r="G173" s="76">
        <v>28</v>
      </c>
      <c r="H173" s="76">
        <v>212.8</v>
      </c>
      <c r="I173" s="70">
        <v>212</v>
      </c>
    </row>
    <row r="174" spans="1:9">
      <c r="A174" s="110"/>
      <c r="B174" s="18" t="s">
        <v>24</v>
      </c>
      <c r="C174" s="11" t="s">
        <v>12</v>
      </c>
      <c r="D174" s="1">
        <v>40</v>
      </c>
      <c r="E174" s="1">
        <v>5.0999999999999996</v>
      </c>
      <c r="F174" s="1">
        <v>4.5999999999999996</v>
      </c>
      <c r="G174" s="1">
        <v>0.3</v>
      </c>
      <c r="H174" s="1">
        <v>63</v>
      </c>
      <c r="I174" s="63">
        <v>300</v>
      </c>
    </row>
    <row r="175" spans="1:9">
      <c r="A175" s="110"/>
      <c r="B175" s="13" t="s">
        <v>33</v>
      </c>
      <c r="C175" s="11" t="s">
        <v>12</v>
      </c>
      <c r="D175" s="1">
        <v>20</v>
      </c>
      <c r="E175" s="1">
        <v>3.84</v>
      </c>
      <c r="F175" s="1">
        <v>5.2</v>
      </c>
      <c r="G175" s="1">
        <v>0</v>
      </c>
      <c r="H175" s="1">
        <v>68.599999999999994</v>
      </c>
      <c r="I175" s="63">
        <v>100</v>
      </c>
    </row>
    <row r="176" spans="1:9">
      <c r="A176" s="110"/>
      <c r="B176" s="29" t="s">
        <v>23</v>
      </c>
      <c r="C176" s="11" t="s">
        <v>12</v>
      </c>
      <c r="D176" s="1">
        <v>20</v>
      </c>
      <c r="E176" s="1">
        <v>1.5</v>
      </c>
      <c r="F176" s="1">
        <v>0.57999999999999996</v>
      </c>
      <c r="G176" s="1">
        <v>10.28</v>
      </c>
      <c r="H176" s="1">
        <v>52.4</v>
      </c>
      <c r="I176" s="63">
        <v>111</v>
      </c>
    </row>
    <row r="177" spans="1:9">
      <c r="A177" s="110"/>
      <c r="B177" s="77" t="s">
        <v>11</v>
      </c>
      <c r="C177" s="9" t="s">
        <v>12</v>
      </c>
      <c r="D177" s="1">
        <v>200</v>
      </c>
      <c r="E177" s="2">
        <v>3.3</v>
      </c>
      <c r="F177" s="2">
        <v>2.9</v>
      </c>
      <c r="G177" s="2">
        <v>13.8</v>
      </c>
      <c r="H177" s="2">
        <v>94</v>
      </c>
      <c r="I177" s="12">
        <v>462</v>
      </c>
    </row>
    <row r="178" spans="1:9">
      <c r="A178" s="22"/>
      <c r="B178" s="15" t="s">
        <v>0</v>
      </c>
      <c r="C178" s="16"/>
      <c r="D178" s="64">
        <f>SUM(D173:D177)</f>
        <v>460</v>
      </c>
      <c r="E178" s="64">
        <f>SUM(E173:E177)</f>
        <v>21.14</v>
      </c>
      <c r="F178" s="64">
        <f>SUM(F173:F177)</f>
        <v>21.279999999999998</v>
      </c>
      <c r="G178" s="64">
        <f>SUM(G173:G177)</f>
        <v>52.379999999999995</v>
      </c>
      <c r="H178" s="64">
        <f>SUM(H173:H177)</f>
        <v>490.79999999999995</v>
      </c>
      <c r="I178" s="65"/>
    </row>
    <row r="179" spans="1:9">
      <c r="A179" s="22"/>
      <c r="B179" s="3" t="s">
        <v>35</v>
      </c>
      <c r="C179" s="16"/>
      <c r="D179" s="17"/>
      <c r="E179" s="30"/>
      <c r="F179" s="30"/>
      <c r="G179" s="30"/>
      <c r="H179" s="30"/>
      <c r="I179" s="14"/>
    </row>
    <row r="180" spans="1:9">
      <c r="A180" s="103"/>
      <c r="B180" s="21" t="s">
        <v>82</v>
      </c>
      <c r="C180" s="11" t="s">
        <v>12</v>
      </c>
      <c r="D180" s="1">
        <v>80</v>
      </c>
      <c r="E180" s="1">
        <v>1.1599999999999999</v>
      </c>
      <c r="F180" s="1">
        <v>4.8</v>
      </c>
      <c r="G180" s="1">
        <v>6.72</v>
      </c>
      <c r="H180" s="1">
        <v>75.2</v>
      </c>
      <c r="I180" s="1">
        <v>1</v>
      </c>
    </row>
    <row r="181" spans="1:9">
      <c r="A181" s="104"/>
      <c r="B181" s="29" t="s">
        <v>84</v>
      </c>
      <c r="C181" s="37" t="s">
        <v>12</v>
      </c>
      <c r="D181" s="1">
        <v>200</v>
      </c>
      <c r="E181" s="1">
        <v>2.2000000000000002</v>
      </c>
      <c r="F181" s="1">
        <v>2.82</v>
      </c>
      <c r="G181" s="1">
        <v>7.84</v>
      </c>
      <c r="H181" s="1">
        <v>105.9</v>
      </c>
      <c r="I181" s="1">
        <v>114</v>
      </c>
    </row>
    <row r="182" spans="1:9">
      <c r="A182" s="104"/>
      <c r="B182" s="13" t="s">
        <v>105</v>
      </c>
      <c r="C182" s="11" t="s">
        <v>12</v>
      </c>
      <c r="D182" s="42">
        <v>90</v>
      </c>
      <c r="E182" s="42">
        <v>11.5</v>
      </c>
      <c r="F182" s="42">
        <v>11.4</v>
      </c>
      <c r="G182" s="42">
        <v>3.9</v>
      </c>
      <c r="H182" s="42">
        <v>165.3</v>
      </c>
      <c r="I182" s="12">
        <v>368</v>
      </c>
    </row>
    <row r="183" spans="1:9">
      <c r="A183" s="104"/>
      <c r="B183" s="13" t="s">
        <v>109</v>
      </c>
      <c r="C183" s="11" t="s">
        <v>12</v>
      </c>
      <c r="D183" s="1">
        <v>150</v>
      </c>
      <c r="E183" s="1">
        <v>3.76</v>
      </c>
      <c r="F183" s="1">
        <v>5.43</v>
      </c>
      <c r="G183" s="1">
        <v>38.85</v>
      </c>
      <c r="H183" s="1">
        <v>219.3</v>
      </c>
      <c r="I183" s="1">
        <v>385</v>
      </c>
    </row>
    <row r="184" spans="1:9">
      <c r="A184" s="104"/>
      <c r="B184" s="36" t="s">
        <v>74</v>
      </c>
      <c r="C184" s="9" t="s">
        <v>12</v>
      </c>
      <c r="D184" s="42">
        <v>200</v>
      </c>
      <c r="E184" s="42">
        <v>0.67</v>
      </c>
      <c r="F184" s="42">
        <v>0.27</v>
      </c>
      <c r="G184" s="42">
        <v>18.3</v>
      </c>
      <c r="H184" s="42">
        <v>78</v>
      </c>
      <c r="I184" s="42">
        <v>496</v>
      </c>
    </row>
    <row r="185" spans="1:9">
      <c r="A185" s="104"/>
      <c r="B185" s="29" t="s">
        <v>15</v>
      </c>
      <c r="C185" s="11" t="s">
        <v>12</v>
      </c>
      <c r="D185" s="1">
        <v>30</v>
      </c>
      <c r="E185" s="1">
        <v>1.98</v>
      </c>
      <c r="F185" s="1">
        <v>0.36</v>
      </c>
      <c r="G185" s="1">
        <v>10.199999999999999</v>
      </c>
      <c r="H185" s="1">
        <v>54.3</v>
      </c>
      <c r="I185" s="1">
        <v>110</v>
      </c>
    </row>
    <row r="186" spans="1:9">
      <c r="A186" s="114"/>
      <c r="B186" s="29" t="s">
        <v>23</v>
      </c>
      <c r="C186" s="11" t="s">
        <v>12</v>
      </c>
      <c r="D186" s="1">
        <v>20</v>
      </c>
      <c r="E186" s="1">
        <v>1.5</v>
      </c>
      <c r="F186" s="1">
        <v>0.57999999999999996</v>
      </c>
      <c r="G186" s="1">
        <v>10.28</v>
      </c>
      <c r="H186" s="1">
        <v>52.4</v>
      </c>
      <c r="I186" s="12">
        <v>111</v>
      </c>
    </row>
    <row r="187" spans="1:9">
      <c r="A187" s="42"/>
      <c r="B187" s="4" t="s">
        <v>8</v>
      </c>
      <c r="C187" s="4"/>
      <c r="D187" s="3">
        <f>SUM(D180:D186)</f>
        <v>770</v>
      </c>
      <c r="E187" s="3">
        <f>SUM(E180:E186)</f>
        <v>22.77</v>
      </c>
      <c r="F187" s="3">
        <f>SUM(F180:F186)</f>
        <v>25.659999999999997</v>
      </c>
      <c r="G187" s="3">
        <f>SUM(G180:G186)</f>
        <v>96.09</v>
      </c>
      <c r="H187" s="3">
        <f>SUM(H180:H186)</f>
        <v>750.4</v>
      </c>
      <c r="I187" s="1"/>
    </row>
    <row r="188" spans="1:9">
      <c r="A188" s="42"/>
      <c r="B188" s="3" t="s">
        <v>36</v>
      </c>
      <c r="C188" s="3"/>
      <c r="D188" s="18"/>
      <c r="E188" s="2"/>
      <c r="F188" s="2"/>
      <c r="G188" s="2"/>
      <c r="H188" s="2"/>
      <c r="I188" s="1"/>
    </row>
    <row r="189" spans="1:9">
      <c r="A189" s="112"/>
      <c r="B189" s="27" t="s">
        <v>54</v>
      </c>
      <c r="C189" s="9" t="s">
        <v>12</v>
      </c>
      <c r="D189" s="1">
        <v>200</v>
      </c>
      <c r="E189" s="1">
        <v>2.8</v>
      </c>
      <c r="F189" s="1">
        <v>3.2</v>
      </c>
      <c r="G189" s="1">
        <v>9.5</v>
      </c>
      <c r="H189" s="1">
        <v>91</v>
      </c>
      <c r="I189" s="42" t="s">
        <v>61</v>
      </c>
    </row>
    <row r="190" spans="1:9">
      <c r="A190" s="110"/>
      <c r="B190" s="18" t="s">
        <v>57</v>
      </c>
      <c r="C190" s="37" t="s">
        <v>12</v>
      </c>
      <c r="D190" s="1">
        <v>80</v>
      </c>
      <c r="E190" s="1">
        <v>2.06</v>
      </c>
      <c r="F190" s="1">
        <v>13.2</v>
      </c>
      <c r="G190" s="1">
        <v>47.4</v>
      </c>
      <c r="H190" s="1">
        <v>289.3</v>
      </c>
      <c r="I190" s="52" t="s">
        <v>61</v>
      </c>
    </row>
    <row r="191" spans="1:9">
      <c r="A191" s="111"/>
      <c r="B191" s="41" t="s">
        <v>96</v>
      </c>
      <c r="C191" s="38" t="s">
        <v>12</v>
      </c>
      <c r="D191" s="56">
        <v>200</v>
      </c>
      <c r="E191" s="1">
        <v>0.8</v>
      </c>
      <c r="F191" s="1">
        <v>0.2</v>
      </c>
      <c r="G191" s="1">
        <v>7.5</v>
      </c>
      <c r="H191" s="1">
        <v>94</v>
      </c>
      <c r="I191" s="12">
        <v>82</v>
      </c>
    </row>
    <row r="192" spans="1:9">
      <c r="A192" s="27"/>
      <c r="B192" s="4" t="s">
        <v>9</v>
      </c>
      <c r="C192" s="40"/>
      <c r="D192" s="3">
        <f>SUM(D189:D191)</f>
        <v>480</v>
      </c>
      <c r="E192" s="3">
        <f>SUM(E189:E191)</f>
        <v>5.6599999999999993</v>
      </c>
      <c r="F192" s="3">
        <f t="shared" ref="F192:G192" si="1">SUM(F189:F191)</f>
        <v>16.599999999999998</v>
      </c>
      <c r="G192" s="3">
        <f t="shared" si="1"/>
        <v>64.400000000000006</v>
      </c>
      <c r="H192" s="3">
        <f>H189+H190+H191</f>
        <v>474.3</v>
      </c>
      <c r="I192" s="18"/>
    </row>
    <row r="193" spans="1:9">
      <c r="A193" s="18"/>
      <c r="B193" s="4" t="s">
        <v>10</v>
      </c>
      <c r="C193" s="4"/>
      <c r="D193" s="18"/>
      <c r="E193" s="3">
        <f>E178+E187+E192</f>
        <v>49.569999999999993</v>
      </c>
      <c r="F193" s="3">
        <f>F178+F187+F192</f>
        <v>63.539999999999992</v>
      </c>
      <c r="G193" s="3">
        <f>G178+G187+G192</f>
        <v>212.87</v>
      </c>
      <c r="H193" s="3">
        <f>H178+H187+H192</f>
        <v>1715.4999999999998</v>
      </c>
      <c r="I193" s="18"/>
    </row>
    <row r="194" spans="1:9">
      <c r="A194" s="43" t="s">
        <v>77</v>
      </c>
      <c r="B194" s="43" t="s">
        <v>34</v>
      </c>
      <c r="C194" s="43"/>
      <c r="D194" s="44"/>
      <c r="E194" s="44"/>
      <c r="F194" s="44"/>
      <c r="G194" s="44"/>
      <c r="H194" s="44"/>
      <c r="I194" s="43"/>
    </row>
    <row r="195" spans="1:9">
      <c r="A195" s="103" t="s">
        <v>45</v>
      </c>
      <c r="B195" s="13" t="s">
        <v>95</v>
      </c>
      <c r="C195" s="11" t="s">
        <v>12</v>
      </c>
      <c r="D195" s="42">
        <v>90</v>
      </c>
      <c r="E195" s="42">
        <v>11.5</v>
      </c>
      <c r="F195" s="42">
        <v>11.4</v>
      </c>
      <c r="G195" s="42">
        <v>3.9</v>
      </c>
      <c r="H195" s="42">
        <v>165.3</v>
      </c>
      <c r="I195" s="12">
        <v>368</v>
      </c>
    </row>
    <row r="196" spans="1:9">
      <c r="A196" s="104"/>
      <c r="B196" s="29" t="s">
        <v>30</v>
      </c>
      <c r="C196" s="1" t="s">
        <v>12</v>
      </c>
      <c r="D196" s="1">
        <v>150</v>
      </c>
      <c r="E196" s="1">
        <v>5.55</v>
      </c>
      <c r="F196" s="1">
        <v>4.95</v>
      </c>
      <c r="G196" s="1">
        <v>29.55</v>
      </c>
      <c r="H196" s="1">
        <v>184.5</v>
      </c>
      <c r="I196" s="1">
        <v>255</v>
      </c>
    </row>
    <row r="197" spans="1:9">
      <c r="A197" s="104"/>
      <c r="B197" s="29" t="s">
        <v>49</v>
      </c>
      <c r="C197" s="1" t="s">
        <v>12</v>
      </c>
      <c r="D197" s="54">
        <v>15</v>
      </c>
      <c r="E197" s="1">
        <v>0.08</v>
      </c>
      <c r="F197" s="1">
        <v>7.25</v>
      </c>
      <c r="G197" s="1">
        <v>0.13</v>
      </c>
      <c r="H197" s="1">
        <v>66.099999999999994</v>
      </c>
      <c r="I197" s="12">
        <v>79</v>
      </c>
    </row>
    <row r="198" spans="1:9">
      <c r="A198" s="104"/>
      <c r="B198" s="39" t="s">
        <v>78</v>
      </c>
      <c r="C198" s="55" t="s">
        <v>12</v>
      </c>
      <c r="D198" s="53">
        <v>200</v>
      </c>
      <c r="E198" s="53">
        <v>0.3</v>
      </c>
      <c r="F198" s="53">
        <v>0.1</v>
      </c>
      <c r="G198" s="53">
        <v>9.5</v>
      </c>
      <c r="H198" s="53">
        <v>40</v>
      </c>
      <c r="I198" s="58">
        <v>459</v>
      </c>
    </row>
    <row r="199" spans="1:9">
      <c r="A199" s="104"/>
      <c r="B199" s="29" t="s">
        <v>23</v>
      </c>
      <c r="C199" s="11" t="s">
        <v>12</v>
      </c>
      <c r="D199" s="1">
        <v>30</v>
      </c>
      <c r="E199" s="1">
        <v>3</v>
      </c>
      <c r="F199" s="1">
        <v>1.06</v>
      </c>
      <c r="G199" s="1">
        <v>12.4</v>
      </c>
      <c r="H199" s="1">
        <v>78.599999999999994</v>
      </c>
      <c r="I199" s="12">
        <v>111</v>
      </c>
    </row>
    <row r="200" spans="1:9">
      <c r="A200" s="22"/>
      <c r="B200" s="23" t="s">
        <v>0</v>
      </c>
      <c r="C200" s="9"/>
      <c r="D200" s="19">
        <f>SUM(D195:D199)</f>
        <v>485</v>
      </c>
      <c r="E200" s="19">
        <f>SUM(E195:E199)</f>
        <v>20.43</v>
      </c>
      <c r="F200" s="19">
        <f>SUM(F195:F199)</f>
        <v>24.76</v>
      </c>
      <c r="G200" s="19">
        <f>SUM(G195:G199)</f>
        <v>55.480000000000004</v>
      </c>
      <c r="H200" s="19">
        <f>SUM(H195:H199)</f>
        <v>534.5</v>
      </c>
      <c r="I200" s="22"/>
    </row>
    <row r="201" spans="1:9">
      <c r="A201" s="42"/>
      <c r="B201" s="19" t="s">
        <v>35</v>
      </c>
      <c r="C201" s="19"/>
      <c r="D201" s="35"/>
      <c r="E201" s="25"/>
      <c r="F201" s="25"/>
      <c r="G201" s="25"/>
      <c r="H201" s="25"/>
      <c r="I201" s="42"/>
    </row>
    <row r="202" spans="1:9">
      <c r="A202" s="112"/>
      <c r="B202" s="21" t="s">
        <v>53</v>
      </c>
      <c r="C202" s="9" t="s">
        <v>12</v>
      </c>
      <c r="D202" s="42">
        <v>80</v>
      </c>
      <c r="E202" s="42">
        <v>0.48</v>
      </c>
      <c r="F202" s="42">
        <v>0.06</v>
      </c>
      <c r="G202" s="42">
        <v>1.5</v>
      </c>
      <c r="H202" s="42">
        <v>11.2</v>
      </c>
      <c r="I202" s="42">
        <v>106</v>
      </c>
    </row>
    <row r="203" spans="1:9" ht="25.5">
      <c r="A203" s="110"/>
      <c r="B203" s="21" t="s">
        <v>66</v>
      </c>
      <c r="C203" s="9" t="s">
        <v>12</v>
      </c>
      <c r="D203" s="68">
        <v>200</v>
      </c>
      <c r="E203" s="68">
        <v>2.1</v>
      </c>
      <c r="F203" s="68">
        <v>4.08</v>
      </c>
      <c r="G203" s="68">
        <v>10.6</v>
      </c>
      <c r="H203" s="68">
        <v>87.6</v>
      </c>
      <c r="I203" s="68">
        <v>100</v>
      </c>
    </row>
    <row r="204" spans="1:9">
      <c r="A204" s="110"/>
      <c r="B204" s="13" t="s">
        <v>108</v>
      </c>
      <c r="C204" s="38" t="s">
        <v>12</v>
      </c>
      <c r="D204" s="1">
        <v>240</v>
      </c>
      <c r="E204" s="1">
        <v>22</v>
      </c>
      <c r="F204" s="1">
        <v>15.3</v>
      </c>
      <c r="G204" s="1">
        <v>6.3</v>
      </c>
      <c r="H204" s="1">
        <v>263</v>
      </c>
      <c r="I204" s="57">
        <v>329</v>
      </c>
    </row>
    <row r="205" spans="1:9">
      <c r="A205" s="110"/>
      <c r="B205" s="29" t="s">
        <v>38</v>
      </c>
      <c r="C205" s="11" t="s">
        <v>12</v>
      </c>
      <c r="D205" s="1">
        <v>200</v>
      </c>
      <c r="E205" s="1">
        <v>0.3</v>
      </c>
      <c r="F205" s="1">
        <v>0.2</v>
      </c>
      <c r="G205" s="1">
        <v>25.1</v>
      </c>
      <c r="H205" s="1">
        <v>103</v>
      </c>
      <c r="I205" s="1">
        <v>509</v>
      </c>
    </row>
    <row r="206" spans="1:9">
      <c r="A206" s="110"/>
      <c r="B206" s="29" t="s">
        <v>15</v>
      </c>
      <c r="C206" s="11" t="s">
        <v>12</v>
      </c>
      <c r="D206" s="1">
        <v>30</v>
      </c>
      <c r="E206" s="1">
        <v>1.98</v>
      </c>
      <c r="F206" s="1">
        <v>0.36</v>
      </c>
      <c r="G206" s="1">
        <v>10.199999999999999</v>
      </c>
      <c r="H206" s="1">
        <v>54.3</v>
      </c>
      <c r="I206" s="1">
        <v>110</v>
      </c>
    </row>
    <row r="207" spans="1:9">
      <c r="A207" s="111"/>
      <c r="B207" s="29" t="s">
        <v>23</v>
      </c>
      <c r="C207" s="11" t="s">
        <v>12</v>
      </c>
      <c r="D207" s="1">
        <v>20</v>
      </c>
      <c r="E207" s="1">
        <v>1.5</v>
      </c>
      <c r="F207" s="1">
        <v>0.57999999999999996</v>
      </c>
      <c r="G207" s="1">
        <v>10.28</v>
      </c>
      <c r="H207" s="1">
        <v>52.4</v>
      </c>
      <c r="I207" s="12">
        <v>111</v>
      </c>
    </row>
    <row r="208" spans="1:9">
      <c r="A208" s="42"/>
      <c r="B208" s="28" t="s">
        <v>8</v>
      </c>
      <c r="C208" s="28"/>
      <c r="D208" s="19">
        <f>SUM(D202:D207)</f>
        <v>770</v>
      </c>
      <c r="E208" s="19">
        <f>SUM(E202:E207)</f>
        <v>28.36</v>
      </c>
      <c r="F208" s="19">
        <f>SUM(F202:F207)</f>
        <v>20.58</v>
      </c>
      <c r="G208" s="19">
        <f>SUM(G202:G207)</f>
        <v>63.980000000000004</v>
      </c>
      <c r="H208" s="19">
        <f>SUM(H202:H207)</f>
        <v>571.5</v>
      </c>
      <c r="I208" s="42"/>
    </row>
    <row r="209" spans="1:9">
      <c r="A209" s="42"/>
      <c r="B209" s="19" t="s">
        <v>36</v>
      </c>
      <c r="C209" s="19"/>
      <c r="D209" s="27"/>
      <c r="E209" s="25"/>
      <c r="F209" s="25"/>
      <c r="G209" s="25"/>
      <c r="H209" s="25"/>
      <c r="I209" s="42"/>
    </row>
    <row r="210" spans="1:9">
      <c r="A210" s="112"/>
      <c r="B210" s="36" t="s">
        <v>58</v>
      </c>
      <c r="C210" s="38" t="s">
        <v>12</v>
      </c>
      <c r="D210" s="1">
        <v>200</v>
      </c>
      <c r="E210" s="1">
        <v>1</v>
      </c>
      <c r="F210" s="1">
        <v>0</v>
      </c>
      <c r="G210" s="1">
        <v>0</v>
      </c>
      <c r="H210" s="1">
        <v>110</v>
      </c>
      <c r="I210" s="1">
        <v>518</v>
      </c>
    </row>
    <row r="211" spans="1:9">
      <c r="A211" s="110"/>
      <c r="B211" s="27" t="s">
        <v>67</v>
      </c>
      <c r="C211" s="37" t="s">
        <v>12</v>
      </c>
      <c r="D211" s="1">
        <v>80</v>
      </c>
      <c r="E211" s="1">
        <v>0.9</v>
      </c>
      <c r="F211" s="1">
        <v>26.2</v>
      </c>
      <c r="G211" s="1">
        <v>87.2</v>
      </c>
      <c r="H211" s="1">
        <v>319</v>
      </c>
      <c r="I211" s="42" t="s">
        <v>47</v>
      </c>
    </row>
    <row r="212" spans="1:9">
      <c r="A212" s="111"/>
      <c r="B212" s="27" t="s">
        <v>98</v>
      </c>
      <c r="C212" s="9" t="s">
        <v>12</v>
      </c>
      <c r="D212" s="56">
        <v>200</v>
      </c>
      <c r="E212" s="1">
        <v>0.8</v>
      </c>
      <c r="F212" s="1">
        <v>0.2</v>
      </c>
      <c r="G212" s="1">
        <v>7.5</v>
      </c>
      <c r="H212" s="1">
        <v>94</v>
      </c>
      <c r="I212" s="12">
        <v>112</v>
      </c>
    </row>
    <row r="213" spans="1:9">
      <c r="A213" s="27"/>
      <c r="B213" s="28" t="s">
        <v>9</v>
      </c>
      <c r="C213" s="28"/>
      <c r="D213" s="19">
        <f>SUM(D210:D212)</f>
        <v>480</v>
      </c>
      <c r="E213" s="19">
        <f>SUM(E210:E212)</f>
        <v>2.7</v>
      </c>
      <c r="F213" s="19">
        <f t="shared" ref="F213" si="2">SUM(F210:F212)</f>
        <v>26.4</v>
      </c>
      <c r="G213" s="19">
        <f>G210+G211+G212</f>
        <v>94.7</v>
      </c>
      <c r="H213" s="19">
        <f>H210+H211+H212</f>
        <v>523</v>
      </c>
      <c r="I213" s="27"/>
    </row>
    <row r="214" spans="1:9">
      <c r="A214" s="27"/>
      <c r="B214" s="28" t="s">
        <v>10</v>
      </c>
      <c r="C214" s="28"/>
      <c r="D214" s="27"/>
      <c r="E214" s="19">
        <f>E200+E208+E213</f>
        <v>51.49</v>
      </c>
      <c r="F214" s="19">
        <f>F200+F208+F213</f>
        <v>71.740000000000009</v>
      </c>
      <c r="G214" s="19">
        <f>G200+G208+G213</f>
        <v>214.16000000000003</v>
      </c>
      <c r="H214" s="19">
        <f>H200+H208+H213</f>
        <v>1629</v>
      </c>
      <c r="I214" s="27"/>
    </row>
  </sheetData>
  <mergeCells count="38">
    <mergeCell ref="A180:A186"/>
    <mergeCell ref="A189:A191"/>
    <mergeCell ref="A195:A199"/>
    <mergeCell ref="A202:A207"/>
    <mergeCell ref="A210:A212"/>
    <mergeCell ref="A147:A149"/>
    <mergeCell ref="A153:A156"/>
    <mergeCell ref="A158:A162"/>
    <mergeCell ref="A165:A166"/>
    <mergeCell ref="A173:A177"/>
    <mergeCell ref="A111:A114"/>
    <mergeCell ref="A117:A122"/>
    <mergeCell ref="A125:A127"/>
    <mergeCell ref="A132:A135"/>
    <mergeCell ref="A138:A144"/>
    <mergeCell ref="A12:A17"/>
    <mergeCell ref="A20:A22"/>
    <mergeCell ref="A1:I1"/>
    <mergeCell ref="A97:A102"/>
    <mergeCell ref="A105:A107"/>
    <mergeCell ref="A61:A62"/>
    <mergeCell ref="A69:A73"/>
    <mergeCell ref="A76:A81"/>
    <mergeCell ref="A84:A85"/>
    <mergeCell ref="A90:A94"/>
    <mergeCell ref="A42:A44"/>
    <mergeCell ref="A33:A39"/>
    <mergeCell ref="A48:A51"/>
    <mergeCell ref="A53:A58"/>
    <mergeCell ref="A27:A30"/>
    <mergeCell ref="A2:I2"/>
    <mergeCell ref="C3:D4"/>
    <mergeCell ref="I3:I4"/>
    <mergeCell ref="A3:A4"/>
    <mergeCell ref="B3:B4"/>
    <mergeCell ref="A6:A9"/>
    <mergeCell ref="E3:G3"/>
    <mergeCell ref="H3:H4"/>
  </mergeCells>
  <phoneticPr fontId="5" type="noConversion"/>
  <pageMargins left="0.35433070866141736" right="0.15748031496062992" top="0.39370078740157483" bottom="0.39370078740157483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20"/>
  <sheetViews>
    <sheetView tabSelected="1" zoomScaleNormal="100" workbookViewId="0">
      <selection activeCell="K216" sqref="K216"/>
    </sheetView>
  </sheetViews>
  <sheetFormatPr defaultRowHeight="12.75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>
      <c r="A1" s="113" t="s">
        <v>90</v>
      </c>
      <c r="B1" s="113"/>
      <c r="C1" s="113"/>
      <c r="D1" s="113"/>
      <c r="E1" s="113"/>
      <c r="F1" s="113"/>
      <c r="G1" s="113"/>
      <c r="H1" s="113"/>
      <c r="I1" s="113"/>
    </row>
    <row r="2" spans="1:34" ht="20.25">
      <c r="A2" s="113" t="s">
        <v>88</v>
      </c>
      <c r="B2" s="113"/>
      <c r="C2" s="113"/>
      <c r="D2" s="113"/>
      <c r="E2" s="113"/>
      <c r="F2" s="113"/>
      <c r="G2" s="113"/>
      <c r="H2" s="113"/>
      <c r="I2" s="113"/>
    </row>
    <row r="3" spans="1:34" ht="12.75" customHeight="1">
      <c r="A3" s="102" t="s">
        <v>29</v>
      </c>
      <c r="B3" s="102" t="s">
        <v>2</v>
      </c>
      <c r="C3" s="98" t="s">
        <v>21</v>
      </c>
      <c r="D3" s="99"/>
      <c r="E3" s="105" t="s">
        <v>4</v>
      </c>
      <c r="F3" s="106"/>
      <c r="G3" s="107"/>
      <c r="H3" s="108" t="s">
        <v>22</v>
      </c>
      <c r="I3" s="102" t="s">
        <v>3</v>
      </c>
    </row>
    <row r="4" spans="1:34" ht="99.75" customHeight="1">
      <c r="A4" s="102"/>
      <c r="B4" s="102"/>
      <c r="C4" s="100"/>
      <c r="D4" s="101"/>
      <c r="E4" s="6" t="s">
        <v>1</v>
      </c>
      <c r="F4" s="5" t="s">
        <v>5</v>
      </c>
      <c r="G4" s="5" t="s">
        <v>6</v>
      </c>
      <c r="H4" s="109"/>
      <c r="I4" s="102"/>
    </row>
    <row r="5" spans="1:34" s="45" customFormat="1" ht="15" customHeight="1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>
      <c r="A6" s="103" t="s">
        <v>41</v>
      </c>
      <c r="B6" s="8" t="s">
        <v>83</v>
      </c>
      <c r="C6" s="11" t="s">
        <v>12</v>
      </c>
      <c r="D6" s="42">
        <v>200</v>
      </c>
      <c r="E6" s="80">
        <v>30.1</v>
      </c>
      <c r="F6" s="80">
        <f>8*200/150</f>
        <v>10.666666666666666</v>
      </c>
      <c r="G6" s="80">
        <f>31.8*200/150</f>
        <v>42.4</v>
      </c>
      <c r="H6" s="80">
        <f>501.5*200/150</f>
        <v>668.66666666666663</v>
      </c>
      <c r="I6" s="12">
        <v>285</v>
      </c>
    </row>
    <row r="7" spans="1:34">
      <c r="A7" s="104"/>
      <c r="B7" s="29" t="s">
        <v>92</v>
      </c>
      <c r="C7" s="11" t="s">
        <v>12</v>
      </c>
      <c r="D7" s="54">
        <v>10</v>
      </c>
      <c r="E7" s="81">
        <f>0.08*200/150</f>
        <v>0.10666666666666667</v>
      </c>
      <c r="F7" s="81">
        <f>7.25*200/150</f>
        <v>9.6666666666666661</v>
      </c>
      <c r="G7" s="81">
        <f>0.13*200/150</f>
        <v>0.17333333333333334</v>
      </c>
      <c r="H7" s="81">
        <f>66.1*200/150</f>
        <v>88.133333333333326</v>
      </c>
      <c r="I7" s="12">
        <v>79</v>
      </c>
    </row>
    <row r="8" spans="1:34">
      <c r="A8" s="104"/>
      <c r="B8" s="29" t="s">
        <v>23</v>
      </c>
      <c r="C8" s="11" t="s">
        <v>12</v>
      </c>
      <c r="D8" s="1">
        <v>30</v>
      </c>
      <c r="E8" s="81">
        <f>2.25*200/150</f>
        <v>3</v>
      </c>
      <c r="F8" s="81">
        <f>0.87*200/150</f>
        <v>1.1599999999999999</v>
      </c>
      <c r="G8" s="81">
        <f>15.42*200/150</f>
        <v>20.56</v>
      </c>
      <c r="H8" s="81">
        <f>78.3*200/150</f>
        <v>104.4</v>
      </c>
      <c r="I8" s="12">
        <v>576</v>
      </c>
    </row>
    <row r="9" spans="1:34">
      <c r="A9" s="104"/>
      <c r="B9" s="36" t="s">
        <v>68</v>
      </c>
      <c r="C9" s="38" t="s">
        <v>12</v>
      </c>
      <c r="D9" s="1">
        <v>200</v>
      </c>
      <c r="E9" s="81">
        <f>0.3*200/150</f>
        <v>0.4</v>
      </c>
      <c r="F9" s="81">
        <f>0.1*200/150</f>
        <v>0.13333333333333333</v>
      </c>
      <c r="G9" s="81">
        <f>9.5*200/150</f>
        <v>12.666666666666666</v>
      </c>
      <c r="H9" s="81">
        <f>40*200/150</f>
        <v>53.333333333333336</v>
      </c>
      <c r="I9" s="7">
        <v>459</v>
      </c>
    </row>
    <row r="10" spans="1:34">
      <c r="A10" s="7"/>
      <c r="B10" s="36"/>
      <c r="C10" s="38"/>
      <c r="D10" s="1"/>
      <c r="E10" s="81"/>
      <c r="F10" s="81"/>
      <c r="G10" s="81"/>
      <c r="H10" s="81"/>
      <c r="I10" s="7"/>
    </row>
    <row r="11" spans="1:34">
      <c r="A11" s="7"/>
      <c r="B11" s="31" t="s">
        <v>0</v>
      </c>
      <c r="C11" s="11"/>
      <c r="D11" s="71">
        <f>D6+D7+D8+D9</f>
        <v>440</v>
      </c>
      <c r="E11" s="82">
        <f>SUM(E6:E10)</f>
        <v>33.606666666666662</v>
      </c>
      <c r="F11" s="82">
        <f>SUM(F6:F10)</f>
        <v>21.626666666666665</v>
      </c>
      <c r="G11" s="82">
        <f>G6+G7+G8+G9</f>
        <v>75.8</v>
      </c>
      <c r="H11" s="82">
        <f>H6+H8+H7+H9</f>
        <v>914.5333333333333</v>
      </c>
      <c r="I11" s="12"/>
    </row>
    <row r="12" spans="1:34">
      <c r="A12" s="69"/>
      <c r="B12" s="33" t="s">
        <v>35</v>
      </c>
      <c r="C12" s="33"/>
      <c r="D12" s="11"/>
      <c r="E12" s="83"/>
      <c r="F12" s="82"/>
      <c r="G12" s="82"/>
      <c r="H12" s="82"/>
      <c r="I12" s="12"/>
    </row>
    <row r="13" spans="1:34">
      <c r="A13" s="110"/>
      <c r="B13" s="21" t="s">
        <v>60</v>
      </c>
      <c r="C13" s="9" t="s">
        <v>12</v>
      </c>
      <c r="D13" s="42">
        <v>100</v>
      </c>
      <c r="E13" s="80">
        <f>4.1*200/150</f>
        <v>5.4666666666666659</v>
      </c>
      <c r="F13" s="80">
        <f>15.2*200/150</f>
        <v>20.266666666666666</v>
      </c>
      <c r="G13" s="80">
        <f>13*200/150</f>
        <v>17.333333333333332</v>
      </c>
      <c r="H13" s="80">
        <f>125*200/150</f>
        <v>166.66666666666666</v>
      </c>
      <c r="I13" s="42">
        <v>28</v>
      </c>
    </row>
    <row r="14" spans="1:34" ht="25.5">
      <c r="A14" s="110"/>
      <c r="B14" s="10" t="s">
        <v>64</v>
      </c>
      <c r="C14" s="11" t="s">
        <v>12</v>
      </c>
      <c r="D14" s="67">
        <v>250</v>
      </c>
      <c r="E14" s="84">
        <f>3.1*200/150</f>
        <v>4.1333333333333337</v>
      </c>
      <c r="F14" s="84">
        <f>5.5*200/150</f>
        <v>7.333333333333333</v>
      </c>
      <c r="G14" s="84">
        <f>16.3*200/150</f>
        <v>21.733333333333334</v>
      </c>
      <c r="H14" s="84">
        <f>151.2*200/150</f>
        <v>201.59999999999997</v>
      </c>
      <c r="I14" s="67">
        <v>113</v>
      </c>
    </row>
    <row r="15" spans="1:34">
      <c r="A15" s="110"/>
      <c r="B15" s="10" t="s">
        <v>46</v>
      </c>
      <c r="C15" s="11" t="s">
        <v>12</v>
      </c>
      <c r="D15" s="1">
        <v>100</v>
      </c>
      <c r="E15" s="81">
        <f>15.8*200/150</f>
        <v>21.066666666666666</v>
      </c>
      <c r="F15" s="81">
        <f>10.9*200/150</f>
        <v>14.533333333333333</v>
      </c>
      <c r="G15" s="81">
        <f>9.6*200/150</f>
        <v>12.8</v>
      </c>
      <c r="H15" s="81">
        <f>192.4*200/150</f>
        <v>256.53333333333336</v>
      </c>
      <c r="I15" s="1">
        <v>372</v>
      </c>
    </row>
    <row r="16" spans="1:34">
      <c r="A16" s="110"/>
      <c r="B16" s="29" t="s">
        <v>30</v>
      </c>
      <c r="C16" s="1" t="s">
        <v>12</v>
      </c>
      <c r="D16" s="42">
        <v>180</v>
      </c>
      <c r="E16" s="80">
        <f>9.6*200/150</f>
        <v>12.8</v>
      </c>
      <c r="F16" s="80">
        <f>8.8*200/150</f>
        <v>11.733333333333334</v>
      </c>
      <c r="G16" s="80">
        <f>38.2*200/150</f>
        <v>50.933333333333337</v>
      </c>
      <c r="H16" s="80">
        <f>275.3*200/150</f>
        <v>367.06666666666666</v>
      </c>
      <c r="I16" s="1">
        <v>255</v>
      </c>
    </row>
    <row r="17" spans="1:34">
      <c r="A17" s="110"/>
      <c r="B17" s="36" t="s">
        <v>28</v>
      </c>
      <c r="C17" s="9" t="s">
        <v>12</v>
      </c>
      <c r="D17" s="42">
        <v>200</v>
      </c>
      <c r="E17" s="80">
        <f>0.5*200/150</f>
        <v>0.66666666666666663</v>
      </c>
      <c r="F17" s="80">
        <v>0</v>
      </c>
      <c r="G17" s="80">
        <f>27*200/150</f>
        <v>36</v>
      </c>
      <c r="H17" s="80">
        <f>110*200/150</f>
        <v>146.66666666666666</v>
      </c>
      <c r="I17" s="42">
        <v>495</v>
      </c>
    </row>
    <row r="18" spans="1:34">
      <c r="A18" s="111"/>
      <c r="B18" s="29" t="s">
        <v>15</v>
      </c>
      <c r="C18" s="11" t="s">
        <v>12</v>
      </c>
      <c r="D18" s="1">
        <v>30</v>
      </c>
      <c r="E18" s="81">
        <f>1.98*200/150</f>
        <v>2.64</v>
      </c>
      <c r="F18" s="81">
        <f>0.36*200/150</f>
        <v>0.48</v>
      </c>
      <c r="G18" s="81">
        <f>10.2*200/150</f>
        <v>13.599999999999998</v>
      </c>
      <c r="H18" s="81">
        <f>54.3*200/150</f>
        <v>72.400000000000006</v>
      </c>
      <c r="I18" s="1">
        <v>575</v>
      </c>
    </row>
    <row r="19" spans="1:34">
      <c r="A19" s="42"/>
      <c r="B19" s="29" t="s">
        <v>23</v>
      </c>
      <c r="C19" s="11" t="s">
        <v>12</v>
      </c>
      <c r="D19" s="1">
        <v>20</v>
      </c>
      <c r="E19" s="81">
        <f>3*200/150</f>
        <v>4</v>
      </c>
      <c r="F19" s="81">
        <f>1.06*200/150</f>
        <v>1.4133333333333333</v>
      </c>
      <c r="G19" s="81">
        <f>15.5*200/150</f>
        <v>20.666666666666668</v>
      </c>
      <c r="H19" s="81">
        <f>78.6*200/150</f>
        <v>104.79999999999998</v>
      </c>
      <c r="I19" s="12">
        <v>576</v>
      </c>
    </row>
    <row r="20" spans="1:34">
      <c r="A20" s="42"/>
      <c r="B20" s="34" t="s">
        <v>8</v>
      </c>
      <c r="C20" s="3"/>
      <c r="D20" s="3">
        <f>D13+D14+D15+D17+D18+D19</f>
        <v>700</v>
      </c>
      <c r="E20" s="85">
        <f>SUM(E14:E19)</f>
        <v>45.306666666666665</v>
      </c>
      <c r="F20" s="85">
        <f>SUM(F14:F19)</f>
        <v>35.493333333333332</v>
      </c>
      <c r="G20" s="85">
        <f>G13+G14+G15+G16+G17+G18+G19</f>
        <v>173.06666666666666</v>
      </c>
      <c r="H20" s="85">
        <f>SUM(H14:H19)</f>
        <v>1149.0666666666666</v>
      </c>
      <c r="I20" s="1"/>
    </row>
    <row r="21" spans="1:34">
      <c r="A21" s="112"/>
      <c r="B21" s="3" t="s">
        <v>36</v>
      </c>
      <c r="C21" s="3"/>
      <c r="D21" s="1"/>
      <c r="E21" s="81"/>
      <c r="F21" s="81"/>
      <c r="G21" s="81"/>
      <c r="H21" s="81"/>
      <c r="I21" s="1"/>
    </row>
    <row r="22" spans="1:34">
      <c r="A22" s="110"/>
      <c r="B22" s="36" t="s">
        <v>27</v>
      </c>
      <c r="C22" s="38" t="s">
        <v>12</v>
      </c>
      <c r="D22" s="1">
        <v>200</v>
      </c>
      <c r="E22" s="81">
        <v>1</v>
      </c>
      <c r="F22" s="81">
        <v>0</v>
      </c>
      <c r="G22" s="81">
        <v>0</v>
      </c>
      <c r="H22" s="81">
        <v>110</v>
      </c>
      <c r="I22" s="1">
        <v>518</v>
      </c>
    </row>
    <row r="23" spans="1:34">
      <c r="A23" s="111"/>
      <c r="B23" s="36" t="s">
        <v>79</v>
      </c>
      <c r="C23" s="38" t="s">
        <v>12</v>
      </c>
      <c r="D23" s="1">
        <v>60</v>
      </c>
      <c r="E23" s="81">
        <v>0.9</v>
      </c>
      <c r="F23" s="81">
        <v>26.2</v>
      </c>
      <c r="G23" s="81">
        <v>87.2</v>
      </c>
      <c r="H23" s="81">
        <v>357.76</v>
      </c>
      <c r="I23" s="1" t="s">
        <v>61</v>
      </c>
    </row>
    <row r="24" spans="1:34">
      <c r="A24" s="1"/>
      <c r="B24" s="27" t="s">
        <v>52</v>
      </c>
      <c r="C24" s="9" t="s">
        <v>12</v>
      </c>
      <c r="D24" s="56">
        <v>200</v>
      </c>
      <c r="E24" s="81">
        <v>0.8</v>
      </c>
      <c r="F24" s="81">
        <v>0.2</v>
      </c>
      <c r="G24" s="81">
        <v>7.5</v>
      </c>
      <c r="H24" s="81">
        <v>94</v>
      </c>
      <c r="I24" s="12">
        <v>82</v>
      </c>
    </row>
    <row r="25" spans="1:34">
      <c r="A25" s="1"/>
      <c r="B25" s="3" t="s">
        <v>9</v>
      </c>
      <c r="C25" s="11"/>
      <c r="D25" s="3">
        <v>450</v>
      </c>
      <c r="E25" s="85">
        <f>E21+E22+E23</f>
        <v>1.9</v>
      </c>
      <c r="F25" s="85">
        <f>F21+F22+F23</f>
        <v>26.2</v>
      </c>
      <c r="G25" s="85">
        <f>G21+G22+G23</f>
        <v>87.2</v>
      </c>
      <c r="H25" s="85">
        <f>H22+H23+H24</f>
        <v>561.76</v>
      </c>
      <c r="I25" s="1"/>
    </row>
    <row r="26" spans="1:34">
      <c r="A26" s="1"/>
      <c r="B26" s="3" t="s">
        <v>10</v>
      </c>
      <c r="C26" s="3"/>
      <c r="D26" s="1"/>
      <c r="E26" s="85">
        <f>E11+E20+E25</f>
        <v>80.813333333333333</v>
      </c>
      <c r="F26" s="85">
        <f>F11+F20+F25</f>
        <v>83.32</v>
      </c>
      <c r="G26" s="85">
        <f>G11+G20+G25</f>
        <v>336.06666666666666</v>
      </c>
      <c r="H26" s="85">
        <f>+H11+H20+H25</f>
        <v>2625.3599999999997</v>
      </c>
      <c r="I26" s="1"/>
    </row>
    <row r="27" spans="1:34" s="45" customFormat="1">
      <c r="A27" s="46" t="s">
        <v>17</v>
      </c>
      <c r="B27" s="43" t="s">
        <v>34</v>
      </c>
      <c r="C27" s="43"/>
      <c r="D27" s="47"/>
      <c r="E27" s="86"/>
      <c r="F27" s="86"/>
      <c r="G27" s="86"/>
      <c r="H27" s="86"/>
      <c r="I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>
      <c r="A28" s="112" t="s">
        <v>42</v>
      </c>
      <c r="B28" s="18" t="s">
        <v>70</v>
      </c>
      <c r="C28" s="11" t="s">
        <v>12</v>
      </c>
      <c r="D28" s="1">
        <v>200</v>
      </c>
      <c r="E28" s="81">
        <f>1.6*200/150</f>
        <v>2.1333333333333333</v>
      </c>
      <c r="F28" s="81">
        <f>7.9*200/150</f>
        <v>10.533333333333333</v>
      </c>
      <c r="G28" s="81">
        <f>7.2*200/150</f>
        <v>9.6</v>
      </c>
      <c r="H28" s="81">
        <f>286.4*200/150</f>
        <v>381.86666666666662</v>
      </c>
      <c r="I28" s="1">
        <v>268</v>
      </c>
    </row>
    <row r="29" spans="1:34">
      <c r="A29" s="110"/>
      <c r="B29" s="13" t="s">
        <v>33</v>
      </c>
      <c r="C29" s="1" t="s">
        <v>12</v>
      </c>
      <c r="D29" s="1">
        <v>15</v>
      </c>
      <c r="E29" s="81">
        <f>0.1*200/150</f>
        <v>0.13333333333333333</v>
      </c>
      <c r="F29" s="81">
        <f>8.2*200/150</f>
        <v>10.933333333333332</v>
      </c>
      <c r="G29" s="81">
        <v>0</v>
      </c>
      <c r="H29" s="81">
        <f>74.8*200/150</f>
        <v>99.733333333333334</v>
      </c>
      <c r="I29" s="1">
        <v>79</v>
      </c>
    </row>
    <row r="30" spans="1:34">
      <c r="A30" s="110"/>
      <c r="B30" s="13" t="s">
        <v>7</v>
      </c>
      <c r="C30" s="11" t="s">
        <v>12</v>
      </c>
      <c r="D30" s="1">
        <v>200</v>
      </c>
      <c r="E30" s="81">
        <f>2.8*200/150</f>
        <v>3.7333333333333334</v>
      </c>
      <c r="F30" s="81">
        <f>2.5*200/150</f>
        <v>3.3333333333333335</v>
      </c>
      <c r="G30" s="81">
        <f>13.6*200/150</f>
        <v>18.133333333333333</v>
      </c>
      <c r="H30" s="81">
        <f>88*200/150</f>
        <v>117.33333333333333</v>
      </c>
      <c r="I30" s="63">
        <v>465</v>
      </c>
    </row>
    <row r="31" spans="1:34">
      <c r="A31" s="110"/>
      <c r="B31" s="29" t="s">
        <v>23</v>
      </c>
      <c r="C31" s="11" t="s">
        <v>12</v>
      </c>
      <c r="D31" s="1">
        <v>30</v>
      </c>
      <c r="E31" s="81">
        <f>2.25*200/150</f>
        <v>3</v>
      </c>
      <c r="F31" s="81">
        <f>0.87*200/150</f>
        <v>1.1599999999999999</v>
      </c>
      <c r="G31" s="81">
        <f>15.42*200/150</f>
        <v>20.56</v>
      </c>
      <c r="H31" s="81">
        <f>78.3*200/150</f>
        <v>104.4</v>
      </c>
      <c r="I31" s="12">
        <v>576</v>
      </c>
    </row>
    <row r="32" spans="1:34">
      <c r="A32" s="111"/>
      <c r="B32" s="29"/>
      <c r="C32" s="11" t="s">
        <v>12</v>
      </c>
      <c r="D32" s="1"/>
      <c r="E32" s="81"/>
      <c r="F32" s="81"/>
      <c r="G32" s="81"/>
      <c r="H32" s="81"/>
      <c r="I32" s="12"/>
    </row>
    <row r="33" spans="1:9">
      <c r="A33" s="22"/>
      <c r="B33" s="23" t="s">
        <v>0</v>
      </c>
      <c r="C33" s="9"/>
      <c r="D33" s="19">
        <f>SUM(D28:D32)</f>
        <v>445</v>
      </c>
      <c r="E33" s="87">
        <f>SUM(E28:E32)</f>
        <v>9</v>
      </c>
      <c r="F33" s="87">
        <f>SUM(F28:F32)</f>
        <v>25.959999999999997</v>
      </c>
      <c r="G33" s="87">
        <f>SUM(G28:G32)</f>
        <v>48.293333333333337</v>
      </c>
      <c r="H33" s="87">
        <f>SUM(H28:H32)</f>
        <v>703.33333333333326</v>
      </c>
      <c r="I33" s="22"/>
    </row>
    <row r="34" spans="1:9">
      <c r="A34" s="42"/>
      <c r="B34" s="19" t="s">
        <v>35</v>
      </c>
      <c r="C34" s="19"/>
      <c r="D34" s="20"/>
      <c r="E34" s="88"/>
      <c r="F34" s="88"/>
      <c r="G34" s="88"/>
      <c r="H34" s="88"/>
      <c r="I34" s="42"/>
    </row>
    <row r="35" spans="1:9" ht="15.6" customHeight="1">
      <c r="A35" s="110"/>
      <c r="B35" s="21" t="s">
        <v>53</v>
      </c>
      <c r="C35" s="9" t="s">
        <v>12</v>
      </c>
      <c r="D35" s="1">
        <v>100</v>
      </c>
      <c r="E35" s="81">
        <f>1.4*200/150</f>
        <v>1.8666666666666667</v>
      </c>
      <c r="F35" s="81">
        <f>7.9*200/150</f>
        <v>10.533333333333333</v>
      </c>
      <c r="G35" s="81">
        <f>7.6*200/150</f>
        <v>10.133333333333333</v>
      </c>
      <c r="H35" s="81">
        <f>101.6*200/150</f>
        <v>135.46666666666667</v>
      </c>
      <c r="I35" s="42">
        <v>106</v>
      </c>
    </row>
    <row r="36" spans="1:9" ht="15.6" customHeight="1">
      <c r="A36" s="110"/>
      <c r="B36" s="21" t="s">
        <v>65</v>
      </c>
      <c r="C36" s="9" t="s">
        <v>12</v>
      </c>
      <c r="D36" s="68">
        <v>250</v>
      </c>
      <c r="E36" s="89">
        <f>3.6*200/150</f>
        <v>4.8</v>
      </c>
      <c r="F36" s="89">
        <f>6.4*200/150</f>
        <v>8.5333333333333332</v>
      </c>
      <c r="G36" s="89">
        <f>11.8*200/150</f>
        <v>15.733333333333333</v>
      </c>
      <c r="H36" s="89">
        <f>159.6*200/150</f>
        <v>212.8</v>
      </c>
      <c r="I36" s="68">
        <v>95</v>
      </c>
    </row>
    <row r="37" spans="1:9">
      <c r="A37" s="110"/>
      <c r="B37" s="39" t="s">
        <v>39</v>
      </c>
      <c r="C37" s="37" t="s">
        <v>12</v>
      </c>
      <c r="D37" s="42">
        <v>100</v>
      </c>
      <c r="E37" s="80">
        <f>26.3*200/150</f>
        <v>35.06666666666667</v>
      </c>
      <c r="F37" s="80">
        <f>15.2*200/150</f>
        <v>20.266666666666666</v>
      </c>
      <c r="G37" s="80">
        <f>5.5*200/150</f>
        <v>7.333333333333333</v>
      </c>
      <c r="H37" s="80">
        <f>286.6*200/150</f>
        <v>382.13333333333338</v>
      </c>
      <c r="I37" s="42">
        <v>367</v>
      </c>
    </row>
    <row r="38" spans="1:9">
      <c r="A38" s="110"/>
      <c r="B38" s="35" t="s">
        <v>25</v>
      </c>
      <c r="C38" s="37" t="s">
        <v>12</v>
      </c>
      <c r="D38" s="1">
        <v>180</v>
      </c>
      <c r="E38" s="81">
        <f>7.5*200/150</f>
        <v>10</v>
      </c>
      <c r="F38" s="81">
        <f>6.9*200/150</f>
        <v>9.1999999999999993</v>
      </c>
      <c r="G38" s="81">
        <f>31.1*200/150</f>
        <v>41.466666666666669</v>
      </c>
      <c r="H38" s="81">
        <f>196*200/150</f>
        <v>261.33333333333331</v>
      </c>
      <c r="I38" s="42">
        <v>202</v>
      </c>
    </row>
    <row r="39" spans="1:9">
      <c r="A39" s="110"/>
      <c r="B39" s="18" t="s">
        <v>31</v>
      </c>
      <c r="C39" s="9" t="s">
        <v>12</v>
      </c>
      <c r="D39" s="1">
        <v>200</v>
      </c>
      <c r="E39" s="81">
        <f>0.3*200/150</f>
        <v>0.4</v>
      </c>
      <c r="F39" s="81">
        <f>0.1*200/150</f>
        <v>0.13333333333333333</v>
      </c>
      <c r="G39" s="81">
        <f>17.2*200/150</f>
        <v>22.933333333333334</v>
      </c>
      <c r="H39" s="81">
        <f>86.5*200/150</f>
        <v>115.33333333333333</v>
      </c>
      <c r="I39" s="1">
        <v>486</v>
      </c>
    </row>
    <row r="40" spans="1:9">
      <c r="A40" s="110"/>
      <c r="B40" s="29" t="s">
        <v>15</v>
      </c>
      <c r="C40" s="11" t="s">
        <v>12</v>
      </c>
      <c r="D40" s="1">
        <v>30</v>
      </c>
      <c r="E40" s="81">
        <f>1.98*200/150</f>
        <v>2.64</v>
      </c>
      <c r="F40" s="81">
        <f>0.36*200/150</f>
        <v>0.48</v>
      </c>
      <c r="G40" s="81">
        <f>10.2*200/150</f>
        <v>13.599999999999998</v>
      </c>
      <c r="H40" s="81">
        <f>54.3*200/150</f>
        <v>72.400000000000006</v>
      </c>
      <c r="I40" s="1">
        <v>575</v>
      </c>
    </row>
    <row r="41" spans="1:9">
      <c r="A41" s="111"/>
      <c r="B41" s="29" t="s">
        <v>23</v>
      </c>
      <c r="C41" s="11" t="s">
        <v>12</v>
      </c>
      <c r="D41" s="1">
        <v>20</v>
      </c>
      <c r="E41" s="81">
        <f>1.5*200/150</f>
        <v>2</v>
      </c>
      <c r="F41" s="81">
        <f>0.58*200/150</f>
        <v>0.77333333333333321</v>
      </c>
      <c r="G41" s="81">
        <f>10.28*200/150</f>
        <v>13.706666666666667</v>
      </c>
      <c r="H41" s="81">
        <f>52.4*200/150</f>
        <v>69.86666666666666</v>
      </c>
      <c r="I41" s="12">
        <v>576</v>
      </c>
    </row>
    <row r="42" spans="1:9">
      <c r="A42" s="42"/>
      <c r="B42" s="28" t="s">
        <v>8</v>
      </c>
      <c r="C42" s="28"/>
      <c r="D42" s="19">
        <f>SUM(D35:D41)</f>
        <v>880</v>
      </c>
      <c r="E42" s="87">
        <f>SUM(E35:E41)</f>
        <v>56.773333333333333</v>
      </c>
      <c r="F42" s="87">
        <f>SUM(F35:F41)</f>
        <v>49.919999999999995</v>
      </c>
      <c r="G42" s="87">
        <f>SUM(G35:G41)</f>
        <v>124.90666666666667</v>
      </c>
      <c r="H42" s="87">
        <f>SUM(H35:H41)</f>
        <v>1249.3333333333333</v>
      </c>
      <c r="I42" s="42"/>
    </row>
    <row r="43" spans="1:9">
      <c r="A43" s="42"/>
      <c r="B43" s="19" t="s">
        <v>36</v>
      </c>
      <c r="C43" s="19"/>
      <c r="D43" s="42"/>
      <c r="E43" s="80"/>
      <c r="F43" s="80"/>
      <c r="G43" s="80"/>
      <c r="H43" s="80"/>
      <c r="I43" s="42"/>
    </row>
    <row r="44" spans="1:9">
      <c r="A44" s="112"/>
      <c r="B44" s="27" t="s">
        <v>54</v>
      </c>
      <c r="C44" s="9" t="s">
        <v>12</v>
      </c>
      <c r="D44" s="1">
        <v>200</v>
      </c>
      <c r="E44" s="81">
        <v>2.8</v>
      </c>
      <c r="F44" s="81">
        <v>3.2</v>
      </c>
      <c r="G44" s="81">
        <v>9.5</v>
      </c>
      <c r="H44" s="81">
        <v>91</v>
      </c>
      <c r="I44" s="42" t="s">
        <v>47</v>
      </c>
    </row>
    <row r="45" spans="1:9">
      <c r="A45" s="110"/>
      <c r="B45" s="27" t="s">
        <v>59</v>
      </c>
      <c r="C45" s="9" t="s">
        <v>12</v>
      </c>
      <c r="D45" s="1">
        <v>80</v>
      </c>
      <c r="E45" s="81">
        <v>2.06</v>
      </c>
      <c r="F45" s="81">
        <v>13.2</v>
      </c>
      <c r="G45" s="81">
        <v>47.4</v>
      </c>
      <c r="H45" s="81">
        <v>295</v>
      </c>
      <c r="I45" s="42" t="s">
        <v>47</v>
      </c>
    </row>
    <row r="46" spans="1:9">
      <c r="A46" s="111"/>
      <c r="B46" s="29" t="s">
        <v>55</v>
      </c>
      <c r="C46" s="38" t="s">
        <v>12</v>
      </c>
      <c r="D46" s="1">
        <v>200</v>
      </c>
      <c r="E46" s="81">
        <v>0.8</v>
      </c>
      <c r="F46" s="81">
        <v>0.2</v>
      </c>
      <c r="G46" s="81">
        <v>20.100000000000001</v>
      </c>
      <c r="H46" s="81">
        <v>120</v>
      </c>
      <c r="I46" s="12">
        <v>82</v>
      </c>
    </row>
    <row r="47" spans="1:9">
      <c r="A47" s="27"/>
      <c r="B47" s="28" t="s">
        <v>9</v>
      </c>
      <c r="C47" s="9" t="s">
        <v>12</v>
      </c>
      <c r="D47" s="19">
        <f>SUM(D44:D46)</f>
        <v>480</v>
      </c>
      <c r="E47" s="87">
        <f>SUM(E44:E46)</f>
        <v>5.6599999999999993</v>
      </c>
      <c r="F47" s="87">
        <f>SUM(F44:F46)</f>
        <v>16.599999999999998</v>
      </c>
      <c r="G47" s="87">
        <f>SUM(G44:G46)</f>
        <v>77</v>
      </c>
      <c r="H47" s="87">
        <f>SUM(H44:H46)</f>
        <v>506</v>
      </c>
      <c r="I47" s="27"/>
    </row>
    <row r="48" spans="1:9">
      <c r="A48" s="27"/>
      <c r="B48" s="28" t="s">
        <v>10</v>
      </c>
      <c r="C48" s="28"/>
      <c r="D48" s="42"/>
      <c r="E48" s="87">
        <f>E33+E42+E47</f>
        <v>71.433333333333337</v>
      </c>
      <c r="F48" s="87">
        <f>F33+F42+F47</f>
        <v>92.47999999999999</v>
      </c>
      <c r="G48" s="87">
        <f>G33+G42+G47</f>
        <v>250.2</v>
      </c>
      <c r="H48" s="87">
        <f>H33+H42+H47</f>
        <v>2458.6666666666665</v>
      </c>
      <c r="I48" s="27"/>
    </row>
    <row r="49" spans="1:34" s="45" customFormat="1">
      <c r="A49" s="43" t="s">
        <v>16</v>
      </c>
      <c r="B49" s="43" t="s">
        <v>34</v>
      </c>
      <c r="C49" s="43"/>
      <c r="D49" s="44"/>
      <c r="E49" s="90"/>
      <c r="F49" s="90"/>
      <c r="G49" s="90"/>
      <c r="H49" s="90"/>
      <c r="I49" s="4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 s="115" t="s">
        <v>43</v>
      </c>
      <c r="B50" s="29" t="s">
        <v>94</v>
      </c>
      <c r="C50" s="11" t="s">
        <v>12</v>
      </c>
      <c r="D50" s="1">
        <v>100</v>
      </c>
      <c r="E50" s="81">
        <f>14.6*200/150</f>
        <v>19.466666666666665</v>
      </c>
      <c r="F50" s="81">
        <f>10.8*200/150</f>
        <v>14.4</v>
      </c>
      <c r="G50" s="81">
        <f>9.8*200/150</f>
        <v>13.066666666666668</v>
      </c>
      <c r="H50" s="81">
        <f>224.3*200/150</f>
        <v>299.06666666666666</v>
      </c>
      <c r="I50" s="1">
        <v>412</v>
      </c>
    </row>
    <row r="51" spans="1:34">
      <c r="A51" s="116"/>
      <c r="B51" s="13" t="s">
        <v>103</v>
      </c>
      <c r="C51" s="1" t="s">
        <v>12</v>
      </c>
      <c r="D51" s="1">
        <v>180</v>
      </c>
      <c r="E51" s="81">
        <f>7.5*200/150</f>
        <v>10</v>
      </c>
      <c r="F51" s="81">
        <f>6.9*200/150</f>
        <v>9.1999999999999993</v>
      </c>
      <c r="G51" s="81">
        <f>31.1*200/150</f>
        <v>41.466666666666669</v>
      </c>
      <c r="H51" s="81">
        <f>196*200/150</f>
        <v>261.33333333333331</v>
      </c>
      <c r="I51" s="1">
        <v>255</v>
      </c>
    </row>
    <row r="52" spans="1:34">
      <c r="A52" s="116"/>
      <c r="B52" s="39" t="s">
        <v>14</v>
      </c>
      <c r="C52" s="11" t="s">
        <v>12</v>
      </c>
      <c r="D52" s="54">
        <v>20</v>
      </c>
      <c r="E52" s="81">
        <f>4.64*200/150</f>
        <v>6.1866666666666656</v>
      </c>
      <c r="F52" s="81">
        <f>5.9*200/150</f>
        <v>7.8666666666666663</v>
      </c>
      <c r="G52" s="81">
        <v>0</v>
      </c>
      <c r="H52" s="81">
        <f>71.6*200/150</f>
        <v>95.466666666666654</v>
      </c>
      <c r="I52" s="12">
        <v>75</v>
      </c>
    </row>
    <row r="53" spans="1:34">
      <c r="A53" s="116"/>
      <c r="B53" s="29" t="s">
        <v>23</v>
      </c>
      <c r="C53" s="55" t="s">
        <v>12</v>
      </c>
      <c r="D53" s="53">
        <v>200</v>
      </c>
      <c r="E53" s="91">
        <f>0.3*200/150</f>
        <v>0.4</v>
      </c>
      <c r="F53" s="91">
        <f>0.1*200/150</f>
        <v>0.13333333333333333</v>
      </c>
      <c r="G53" s="91">
        <f>9.5*200/150</f>
        <v>12.666666666666666</v>
      </c>
      <c r="H53" s="91">
        <f>40*200/150</f>
        <v>53.333333333333336</v>
      </c>
      <c r="I53" s="58">
        <v>459</v>
      </c>
    </row>
    <row r="54" spans="1:34">
      <c r="A54" s="117"/>
      <c r="B54" s="29"/>
      <c r="C54" s="11"/>
      <c r="D54" s="1"/>
      <c r="E54" s="81"/>
      <c r="F54" s="81"/>
      <c r="G54" s="81"/>
      <c r="H54" s="81"/>
      <c r="I54" s="12"/>
    </row>
    <row r="55" spans="1:34">
      <c r="A55" s="42"/>
      <c r="B55" s="23" t="s">
        <v>0</v>
      </c>
      <c r="C55" s="9"/>
      <c r="D55" s="19">
        <f>D50+D51+D52+D53+D54</f>
        <v>500</v>
      </c>
      <c r="E55" s="87">
        <f>SUM(E50:E54)</f>
        <v>36.053333333333327</v>
      </c>
      <c r="F55" s="87">
        <f>SUM(F50:F54)</f>
        <v>31.6</v>
      </c>
      <c r="G55" s="87">
        <f>SUM(G50:G54)</f>
        <v>67.2</v>
      </c>
      <c r="H55" s="87">
        <f>SUM(H50:H54)</f>
        <v>709.2</v>
      </c>
      <c r="I55" s="22"/>
    </row>
    <row r="56" spans="1:34">
      <c r="A56" s="103"/>
      <c r="B56" s="19" t="s">
        <v>35</v>
      </c>
      <c r="C56" s="19"/>
      <c r="D56" s="20"/>
      <c r="E56" s="88"/>
      <c r="F56" s="88"/>
      <c r="G56" s="88"/>
      <c r="H56" s="88"/>
      <c r="I56" s="42"/>
    </row>
    <row r="57" spans="1:34" ht="25.5">
      <c r="A57" s="104"/>
      <c r="B57" s="72" t="s">
        <v>80</v>
      </c>
      <c r="C57" s="11" t="s">
        <v>12</v>
      </c>
      <c r="D57" s="42">
        <v>100</v>
      </c>
      <c r="E57" s="80">
        <f>1.1*200/150</f>
        <v>1.4666666666666668</v>
      </c>
      <c r="F57" s="80">
        <f>1*200/150</f>
        <v>1.3333333333333333</v>
      </c>
      <c r="G57" s="80">
        <f>3*200/150</f>
        <v>4</v>
      </c>
      <c r="H57" s="80">
        <f>75.9*200/150</f>
        <v>101.20000000000002</v>
      </c>
      <c r="I57" s="42">
        <v>31</v>
      </c>
    </row>
    <row r="58" spans="1:34" ht="13.5" customHeight="1">
      <c r="A58" s="104"/>
      <c r="B58" s="21" t="s">
        <v>50</v>
      </c>
      <c r="C58" s="9" t="s">
        <v>12</v>
      </c>
      <c r="D58" s="42">
        <v>250</v>
      </c>
      <c r="E58" s="80">
        <f>3.6*200/150</f>
        <v>4.8</v>
      </c>
      <c r="F58" s="80">
        <f>4.6*200/150</f>
        <v>6.1333333333333329</v>
      </c>
      <c r="G58" s="80">
        <f>13.6*200/150</f>
        <v>18.133333333333333</v>
      </c>
      <c r="H58" s="80">
        <f>229.6*200/150</f>
        <v>306.13333333333333</v>
      </c>
      <c r="I58" s="42">
        <v>123</v>
      </c>
    </row>
    <row r="59" spans="1:34" ht="12.75" customHeight="1">
      <c r="A59" s="104"/>
      <c r="B59" s="10" t="s">
        <v>63</v>
      </c>
      <c r="C59" s="11" t="s">
        <v>12</v>
      </c>
      <c r="D59" s="1">
        <v>100</v>
      </c>
      <c r="E59" s="81">
        <f>15.6*200/150</f>
        <v>20.8</v>
      </c>
      <c r="F59" s="81">
        <f>4.1*200/150</f>
        <v>5.4666666666666659</v>
      </c>
      <c r="G59" s="81">
        <f>11.3*200/150</f>
        <v>15.066666666666666</v>
      </c>
      <c r="H59" s="81">
        <f>201.9*200/150</f>
        <v>269.2</v>
      </c>
      <c r="I59" s="1">
        <v>298</v>
      </c>
    </row>
    <row r="60" spans="1:34">
      <c r="A60" s="104"/>
      <c r="B60" s="29" t="s">
        <v>13</v>
      </c>
      <c r="C60" s="1" t="s">
        <v>12</v>
      </c>
      <c r="D60" s="1">
        <v>180</v>
      </c>
      <c r="E60" s="81">
        <f>6.9*200/150</f>
        <v>9.1999999999999993</v>
      </c>
      <c r="F60" s="81">
        <f>7*200/150</f>
        <v>9.3333333333333339</v>
      </c>
      <c r="G60" s="81">
        <f>31.2*200/150</f>
        <v>41.6</v>
      </c>
      <c r="H60" s="81">
        <f>168.8*200/150</f>
        <v>225.06666666666666</v>
      </c>
      <c r="I60" s="1">
        <v>377</v>
      </c>
    </row>
    <row r="61" spans="1:34">
      <c r="A61" s="114"/>
      <c r="B61" s="36" t="s">
        <v>81</v>
      </c>
      <c r="C61" s="9" t="s">
        <v>12</v>
      </c>
      <c r="D61" s="42">
        <v>200</v>
      </c>
      <c r="E61" s="80">
        <f>0.5*200/150</f>
        <v>0.66666666666666663</v>
      </c>
      <c r="F61" s="80">
        <v>0</v>
      </c>
      <c r="G61" s="80">
        <f>27*200/150</f>
        <v>36</v>
      </c>
      <c r="H61" s="80">
        <f>110*200/150</f>
        <v>146.66666666666666</v>
      </c>
      <c r="I61" s="42">
        <v>494</v>
      </c>
    </row>
    <row r="62" spans="1:34">
      <c r="A62" s="42"/>
      <c r="B62" s="29" t="s">
        <v>15</v>
      </c>
      <c r="C62" s="11" t="s">
        <v>12</v>
      </c>
      <c r="D62" s="1">
        <v>30</v>
      </c>
      <c r="E62" s="81">
        <f>2.04*200/150</f>
        <v>2.72</v>
      </c>
      <c r="F62" s="81">
        <f>0.39*200/150</f>
        <v>0.52</v>
      </c>
      <c r="G62" s="81">
        <f>11.94*200/150</f>
        <v>15.92</v>
      </c>
      <c r="H62" s="81">
        <f>59.4*200/150</f>
        <v>79.2</v>
      </c>
      <c r="I62" s="1">
        <v>575</v>
      </c>
    </row>
    <row r="63" spans="1:34">
      <c r="A63" s="42"/>
      <c r="B63" s="29" t="s">
        <v>23</v>
      </c>
      <c r="C63" s="11" t="s">
        <v>12</v>
      </c>
      <c r="D63" s="1">
        <v>20</v>
      </c>
      <c r="E63" s="81">
        <f>1.5*200/150</f>
        <v>2</v>
      </c>
      <c r="F63" s="81">
        <f>0.58*200/150</f>
        <v>0.77333333333333321</v>
      </c>
      <c r="G63" s="81">
        <f>10.28*200/150</f>
        <v>13.706666666666667</v>
      </c>
      <c r="H63" s="81">
        <f>52.4*200/150</f>
        <v>69.86666666666666</v>
      </c>
      <c r="I63" s="12">
        <v>576</v>
      </c>
    </row>
    <row r="64" spans="1:34">
      <c r="A64" s="112"/>
      <c r="B64" s="28" t="s">
        <v>8</v>
      </c>
      <c r="C64" s="28"/>
      <c r="D64" s="19">
        <f>SUM(D57:D63)</f>
        <v>880</v>
      </c>
      <c r="E64" s="87">
        <f>SUM(E57:E63)</f>
        <v>41.653333333333329</v>
      </c>
      <c r="F64" s="87">
        <f>SUM(F57:F63)</f>
        <v>23.56</v>
      </c>
      <c r="G64" s="87">
        <f>SUM(G57:G63)</f>
        <v>144.42666666666668</v>
      </c>
      <c r="H64" s="87">
        <f>SUM(H57:H63)</f>
        <v>1197.3333333333333</v>
      </c>
      <c r="I64" s="42"/>
    </row>
    <row r="65" spans="1:34">
      <c r="A65" s="111"/>
      <c r="B65" s="19" t="s">
        <v>36</v>
      </c>
      <c r="C65" s="19"/>
      <c r="D65" s="42"/>
      <c r="E65" s="80"/>
      <c r="F65" s="80"/>
      <c r="G65" s="80"/>
      <c r="H65" s="80"/>
      <c r="I65" s="42"/>
    </row>
    <row r="66" spans="1:34">
      <c r="A66" s="27"/>
      <c r="B66" s="36" t="s">
        <v>32</v>
      </c>
      <c r="C66" s="38" t="s">
        <v>12</v>
      </c>
      <c r="D66" s="1">
        <v>200</v>
      </c>
      <c r="E66" s="81">
        <v>1</v>
      </c>
      <c r="F66" s="81">
        <v>0</v>
      </c>
      <c r="G66" s="81">
        <v>0</v>
      </c>
      <c r="H66" s="81">
        <v>110</v>
      </c>
      <c r="I66" s="1">
        <v>518</v>
      </c>
    </row>
    <row r="67" spans="1:34">
      <c r="A67" s="27"/>
      <c r="B67" s="27" t="s">
        <v>51</v>
      </c>
      <c r="C67" s="9" t="s">
        <v>12</v>
      </c>
      <c r="D67" s="1">
        <v>80</v>
      </c>
      <c r="E67" s="81">
        <v>2.06</v>
      </c>
      <c r="F67" s="81">
        <v>13.2</v>
      </c>
      <c r="G67" s="81">
        <v>47.4</v>
      </c>
      <c r="H67" s="81">
        <v>362</v>
      </c>
      <c r="I67" s="42" t="s">
        <v>47</v>
      </c>
    </row>
    <row r="68" spans="1:34">
      <c r="A68" s="27"/>
      <c r="B68" s="29" t="s">
        <v>48</v>
      </c>
      <c r="C68" s="11" t="s">
        <v>12</v>
      </c>
      <c r="D68" s="56">
        <v>200</v>
      </c>
      <c r="E68" s="81">
        <v>0.8</v>
      </c>
      <c r="F68" s="81">
        <v>0.2</v>
      </c>
      <c r="G68" s="81">
        <v>7.5</v>
      </c>
      <c r="H68" s="81">
        <v>112.8</v>
      </c>
      <c r="I68" s="12">
        <v>82</v>
      </c>
    </row>
    <row r="69" spans="1:34">
      <c r="A69" s="27"/>
      <c r="B69" s="3" t="s">
        <v>9</v>
      </c>
      <c r="C69" s="11"/>
      <c r="D69" s="3">
        <f ca="1">SUM(D66:D92)</f>
        <v>400</v>
      </c>
      <c r="E69" s="85">
        <f>E66+E67+E68</f>
        <v>3.8600000000000003</v>
      </c>
      <c r="F69" s="85">
        <f>F67+F68</f>
        <v>13.399999999999999</v>
      </c>
      <c r="G69" s="85">
        <f>G67+G68</f>
        <v>54.9</v>
      </c>
      <c r="H69" s="85">
        <f>H66+H67+H68</f>
        <v>584.79999999999995</v>
      </c>
      <c r="I69" s="1"/>
    </row>
    <row r="70" spans="1:34">
      <c r="A70" s="27"/>
      <c r="B70" s="3" t="s">
        <v>10</v>
      </c>
      <c r="C70" s="3"/>
      <c r="D70" s="1"/>
      <c r="E70" s="85">
        <f>E55+E64+E69</f>
        <v>81.566666666666649</v>
      </c>
      <c r="F70" s="85">
        <f>F55+F64+F69</f>
        <v>68.56</v>
      </c>
      <c r="G70" s="85">
        <v>171.9</v>
      </c>
      <c r="H70" s="85">
        <f>H55+H64+H69</f>
        <v>2491.333333333333</v>
      </c>
      <c r="I70" s="1"/>
    </row>
    <row r="71" spans="1:34" s="45" customFormat="1">
      <c r="A71" s="43" t="s">
        <v>18</v>
      </c>
      <c r="B71" s="43" t="s">
        <v>34</v>
      </c>
      <c r="C71" s="59"/>
      <c r="D71" s="59"/>
      <c r="E71" s="92"/>
      <c r="F71" s="92"/>
      <c r="G71" s="92"/>
      <c r="H71" s="92"/>
      <c r="I71" s="6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 s="112" t="s">
        <v>44</v>
      </c>
      <c r="B72" s="10" t="s">
        <v>104</v>
      </c>
      <c r="C72" s="11" t="s">
        <v>12</v>
      </c>
      <c r="D72" s="1">
        <v>200</v>
      </c>
      <c r="E72" s="81">
        <f>12*200/150</f>
        <v>16</v>
      </c>
      <c r="F72" s="81">
        <f>18.6*200/150</f>
        <v>24.800000000000004</v>
      </c>
      <c r="G72" s="81">
        <f>41.2*200/150</f>
        <v>54.93333333333333</v>
      </c>
      <c r="H72" s="81">
        <f>356.2*200/150</f>
        <v>474.93333333333334</v>
      </c>
      <c r="I72" s="1">
        <v>230</v>
      </c>
    </row>
    <row r="73" spans="1:34">
      <c r="A73" s="110"/>
      <c r="B73" s="18" t="s">
        <v>24</v>
      </c>
      <c r="C73" s="11" t="s">
        <v>12</v>
      </c>
      <c r="D73" s="1">
        <v>40</v>
      </c>
      <c r="E73" s="81">
        <f>5.1*200/150</f>
        <v>6.7999999999999989</v>
      </c>
      <c r="F73" s="81">
        <f>4.6*200/150</f>
        <v>6.1333333333333329</v>
      </c>
      <c r="G73" s="81">
        <f>0.3*200/150</f>
        <v>0.4</v>
      </c>
      <c r="H73" s="81">
        <f>63*200/150</f>
        <v>84</v>
      </c>
      <c r="I73" s="63">
        <v>300</v>
      </c>
    </row>
    <row r="74" spans="1:34">
      <c r="A74" s="110"/>
      <c r="B74" s="13" t="s">
        <v>33</v>
      </c>
      <c r="C74" s="11" t="s">
        <v>12</v>
      </c>
      <c r="D74" s="54">
        <v>10</v>
      </c>
      <c r="E74" s="81">
        <f>0.12*200/150</f>
        <v>0.16</v>
      </c>
      <c r="F74" s="81">
        <f>29*200/150</f>
        <v>38.666666666666664</v>
      </c>
      <c r="G74" s="81">
        <v>0.52</v>
      </c>
      <c r="H74" s="81">
        <f>264.4*200/150</f>
        <v>352.5333333333333</v>
      </c>
      <c r="I74" s="12">
        <v>79</v>
      </c>
    </row>
    <row r="75" spans="1:34">
      <c r="A75" s="110"/>
      <c r="B75" s="29" t="s">
        <v>23</v>
      </c>
      <c r="C75" s="11" t="s">
        <v>12</v>
      </c>
      <c r="D75" s="1">
        <v>30</v>
      </c>
      <c r="E75" s="81">
        <f>2.25*200/150</f>
        <v>3</v>
      </c>
      <c r="F75" s="81">
        <f>0.87*200/150</f>
        <v>1.1599999999999999</v>
      </c>
      <c r="G75" s="81">
        <f>15.42*200/150</f>
        <v>20.56</v>
      </c>
      <c r="H75" s="81">
        <f>78.3*200/150</f>
        <v>104.4</v>
      </c>
      <c r="I75" s="12">
        <v>576</v>
      </c>
    </row>
    <row r="76" spans="1:34">
      <c r="A76" s="110"/>
      <c r="B76" s="13" t="s">
        <v>7</v>
      </c>
      <c r="C76" s="11" t="s">
        <v>12</v>
      </c>
      <c r="D76" s="1">
        <v>200</v>
      </c>
      <c r="E76" s="81">
        <f>2.8*200/150</f>
        <v>3.7333333333333334</v>
      </c>
      <c r="F76" s="81">
        <f>2.5*200/150</f>
        <v>3.3333333333333335</v>
      </c>
      <c r="G76" s="81">
        <f>13.6*200/150</f>
        <v>18.133333333333333</v>
      </c>
      <c r="H76" s="81">
        <f>88*200/150</f>
        <v>117.33333333333333</v>
      </c>
      <c r="I76" s="63">
        <v>465</v>
      </c>
    </row>
    <row r="77" spans="1:34">
      <c r="A77" s="22"/>
      <c r="B77" s="15" t="s">
        <v>0</v>
      </c>
      <c r="C77" s="16"/>
      <c r="D77" s="64">
        <f>SUM(D72:D76)</f>
        <v>480</v>
      </c>
      <c r="E77" s="93">
        <f>SUM(E72:E76)</f>
        <v>29.693333333333332</v>
      </c>
      <c r="F77" s="93">
        <f>SUM(F72:F76)</f>
        <v>74.09333333333332</v>
      </c>
      <c r="G77" s="93">
        <f>SUM(G72:G76)</f>
        <v>94.546666666666653</v>
      </c>
      <c r="H77" s="93">
        <f>SUM(H72:H76)</f>
        <v>1133.2</v>
      </c>
      <c r="I77" s="65"/>
    </row>
    <row r="78" spans="1:34">
      <c r="A78" s="22"/>
      <c r="B78" s="3" t="s">
        <v>35</v>
      </c>
      <c r="C78" s="16"/>
      <c r="D78" s="17"/>
      <c r="E78" s="93"/>
      <c r="F78" s="93"/>
      <c r="G78" s="93"/>
      <c r="H78" s="93"/>
      <c r="I78" s="14"/>
    </row>
    <row r="79" spans="1:34" ht="24" customHeight="1">
      <c r="A79" s="103"/>
      <c r="B79" s="36" t="s">
        <v>56</v>
      </c>
      <c r="C79" s="38" t="s">
        <v>12</v>
      </c>
      <c r="D79" s="56">
        <v>100</v>
      </c>
      <c r="E79" s="84">
        <f>0.9*200/150</f>
        <v>1.2</v>
      </c>
      <c r="F79" s="84">
        <f>5.1*200/150</f>
        <v>6.7999999999999989</v>
      </c>
      <c r="G79" s="84">
        <f>3.6*200/150</f>
        <v>4.8</v>
      </c>
      <c r="H79" s="84">
        <f>112.3*200/150</f>
        <v>149.73333333333332</v>
      </c>
      <c r="I79" s="66">
        <v>18</v>
      </c>
    </row>
    <row r="80" spans="1:34">
      <c r="A80" s="104"/>
      <c r="B80" s="29" t="s">
        <v>84</v>
      </c>
      <c r="C80" s="37" t="s">
        <v>12</v>
      </c>
      <c r="D80" s="1">
        <v>250</v>
      </c>
      <c r="E80" s="81">
        <f>1.6*200/150</f>
        <v>2.1333333333333333</v>
      </c>
      <c r="F80" s="81">
        <f>5.08*200/150</f>
        <v>6.7733333333333334</v>
      </c>
      <c r="G80" s="81">
        <f>17.05*200/150</f>
        <v>22.733333333333334</v>
      </c>
      <c r="H80" s="81">
        <f>146.3*200/150</f>
        <v>195.06666666666669</v>
      </c>
      <c r="I80" s="1">
        <v>114</v>
      </c>
    </row>
    <row r="81" spans="1:34">
      <c r="A81" s="104"/>
      <c r="B81" s="13" t="s">
        <v>37</v>
      </c>
      <c r="C81" s="11" t="s">
        <v>12</v>
      </c>
      <c r="D81" s="1">
        <v>280</v>
      </c>
      <c r="E81" s="81">
        <f>16.1*200/150</f>
        <v>21.466666666666669</v>
      </c>
      <c r="F81" s="81">
        <f>17.5*200/150</f>
        <v>23.333333333333332</v>
      </c>
      <c r="G81" s="81">
        <f>17.9*200/150</f>
        <v>23.866666666666664</v>
      </c>
      <c r="H81" s="81">
        <f>386.9*200/150</f>
        <v>515.86666666666667</v>
      </c>
      <c r="I81" s="1">
        <v>376</v>
      </c>
    </row>
    <row r="82" spans="1:34">
      <c r="A82" s="104"/>
      <c r="B82" s="36" t="s">
        <v>28</v>
      </c>
      <c r="C82" s="9" t="s">
        <v>12</v>
      </c>
      <c r="D82" s="42">
        <v>200</v>
      </c>
      <c r="E82" s="80">
        <f>0.6*200/150</f>
        <v>0.8</v>
      </c>
      <c r="F82" s="80">
        <v>0</v>
      </c>
      <c r="G82" s="80">
        <f>20.1*200/150</f>
        <v>26.800000000000004</v>
      </c>
      <c r="H82" s="80">
        <f>84*200/150</f>
        <v>112</v>
      </c>
      <c r="I82" s="42">
        <v>495</v>
      </c>
    </row>
    <row r="83" spans="1:34">
      <c r="A83" s="104"/>
      <c r="B83" s="29" t="s">
        <v>15</v>
      </c>
      <c r="C83" s="11" t="s">
        <v>12</v>
      </c>
      <c r="D83" s="1">
        <v>30</v>
      </c>
      <c r="E83" s="81">
        <f>2.04*200/150</f>
        <v>2.72</v>
      </c>
      <c r="F83" s="81">
        <f>0.39*200/150</f>
        <v>0.52</v>
      </c>
      <c r="G83" s="81">
        <f>11.94*200/150</f>
        <v>15.92</v>
      </c>
      <c r="H83" s="81">
        <f>59.4*200/150</f>
        <v>79.2</v>
      </c>
      <c r="I83" s="1">
        <v>575</v>
      </c>
    </row>
    <row r="84" spans="1:34">
      <c r="A84" s="114"/>
      <c r="B84" s="29" t="s">
        <v>23</v>
      </c>
      <c r="C84" s="11" t="s">
        <v>12</v>
      </c>
      <c r="D84" s="1">
        <v>20</v>
      </c>
      <c r="E84" s="81">
        <f>1.5*200/150</f>
        <v>2</v>
      </c>
      <c r="F84" s="81">
        <f>0.58*200/150</f>
        <v>0.77333333333333321</v>
      </c>
      <c r="G84" s="81">
        <f>10.28*200/150</f>
        <v>13.706666666666667</v>
      </c>
      <c r="H84" s="81">
        <f>52.4*200/150</f>
        <v>69.86666666666666</v>
      </c>
      <c r="I84" s="12">
        <v>576</v>
      </c>
    </row>
    <row r="85" spans="1:34">
      <c r="A85" s="42"/>
      <c r="B85" s="4" t="s">
        <v>8</v>
      </c>
      <c r="C85" s="4"/>
      <c r="D85" s="3">
        <f>SUM(D79:D84)</f>
        <v>880</v>
      </c>
      <c r="E85" s="85">
        <f>SUM(E79:E84)</f>
        <v>30.32</v>
      </c>
      <c r="F85" s="85">
        <f>SUM(F79:F84)</f>
        <v>38.200000000000003</v>
      </c>
      <c r="G85" s="85">
        <f>SUM(G79:G84)</f>
        <v>107.82666666666667</v>
      </c>
      <c r="H85" s="85">
        <f>SUM(H79:H84)</f>
        <v>1121.7333333333333</v>
      </c>
      <c r="I85" s="1"/>
    </row>
    <row r="86" spans="1:34">
      <c r="A86" s="42"/>
      <c r="B86" s="3" t="s">
        <v>36</v>
      </c>
      <c r="C86" s="3"/>
      <c r="D86" s="18"/>
      <c r="E86" s="81"/>
      <c r="F86" s="81"/>
      <c r="G86" s="81"/>
      <c r="H86" s="81"/>
      <c r="I86" s="1"/>
    </row>
    <row r="87" spans="1:34">
      <c r="A87" s="112"/>
      <c r="B87" s="27" t="s">
        <v>54</v>
      </c>
      <c r="C87" s="9" t="s">
        <v>12</v>
      </c>
      <c r="D87" s="1">
        <v>200</v>
      </c>
      <c r="E87" s="81">
        <v>2.8</v>
      </c>
      <c r="F87" s="81">
        <v>3.2</v>
      </c>
      <c r="G87" s="81">
        <v>9.5</v>
      </c>
      <c r="H87" s="81">
        <v>91</v>
      </c>
      <c r="I87" s="42" t="s">
        <v>61</v>
      </c>
    </row>
    <row r="88" spans="1:34">
      <c r="A88" s="110"/>
      <c r="B88" s="18" t="s">
        <v>57</v>
      </c>
      <c r="C88" s="37" t="s">
        <v>12</v>
      </c>
      <c r="D88" s="1">
        <v>80</v>
      </c>
      <c r="E88" s="81">
        <v>2.06</v>
      </c>
      <c r="F88" s="81">
        <v>13.2</v>
      </c>
      <c r="G88" s="81">
        <v>47.4</v>
      </c>
      <c r="H88" s="81">
        <v>289.3</v>
      </c>
      <c r="I88" s="52" t="s">
        <v>61</v>
      </c>
    </row>
    <row r="89" spans="1:34">
      <c r="A89" s="111"/>
      <c r="B89" s="27" t="s">
        <v>52</v>
      </c>
      <c r="C89" s="38" t="s">
        <v>12</v>
      </c>
      <c r="D89" s="56">
        <v>200</v>
      </c>
      <c r="E89" s="81">
        <v>0.8</v>
      </c>
      <c r="F89" s="81">
        <v>0.2</v>
      </c>
      <c r="G89" s="81">
        <v>7.5</v>
      </c>
      <c r="H89" s="81">
        <v>94</v>
      </c>
      <c r="I89" s="12">
        <v>82</v>
      </c>
    </row>
    <row r="90" spans="1:34">
      <c r="A90" s="27"/>
      <c r="B90" s="4" t="s">
        <v>9</v>
      </c>
      <c r="C90" s="40"/>
      <c r="D90" s="3">
        <f>SUM(D87:D89)</f>
        <v>480</v>
      </c>
      <c r="E90" s="85">
        <f>SUM(E87:E89)</f>
        <v>5.6599999999999993</v>
      </c>
      <c r="F90" s="85">
        <f t="shared" ref="F90:G90" si="0">SUM(F87:F89)</f>
        <v>16.599999999999998</v>
      </c>
      <c r="G90" s="85">
        <f t="shared" si="0"/>
        <v>64.400000000000006</v>
      </c>
      <c r="H90" s="85">
        <f>H87+H88+H89</f>
        <v>474.3</v>
      </c>
      <c r="I90" s="18"/>
    </row>
    <row r="91" spans="1:34">
      <c r="A91" s="18"/>
      <c r="B91" s="4" t="s">
        <v>10</v>
      </c>
      <c r="C91" s="4"/>
      <c r="D91" s="18"/>
      <c r="E91" s="85">
        <f>E77+E85+E90</f>
        <v>65.673333333333332</v>
      </c>
      <c r="F91" s="85">
        <f>F77+F85+F90</f>
        <v>128.89333333333332</v>
      </c>
      <c r="G91" s="85">
        <f>G77+G85+G90</f>
        <v>266.77333333333331</v>
      </c>
      <c r="H91" s="85">
        <f>H77+H85+H90</f>
        <v>2729.2333333333336</v>
      </c>
      <c r="I91" s="18"/>
    </row>
    <row r="92" spans="1:34" s="45" customFormat="1">
      <c r="A92" s="43" t="s">
        <v>19</v>
      </c>
      <c r="B92" s="43" t="s">
        <v>34</v>
      </c>
      <c r="C92" s="43"/>
      <c r="D92" s="44"/>
      <c r="E92" s="90"/>
      <c r="F92" s="90"/>
      <c r="G92" s="90"/>
      <c r="H92" s="90"/>
      <c r="I92" s="4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>
      <c r="A93" s="103" t="s">
        <v>45</v>
      </c>
      <c r="B93" s="13" t="s">
        <v>105</v>
      </c>
      <c r="C93" s="11" t="s">
        <v>12</v>
      </c>
      <c r="D93" s="42">
        <v>100</v>
      </c>
      <c r="E93" s="80">
        <f>17.6*200/150</f>
        <v>23.466666666666669</v>
      </c>
      <c r="F93" s="80">
        <f>17.6*200/150</f>
        <v>23.466666666666669</v>
      </c>
      <c r="G93" s="80">
        <f>8.2*200/150</f>
        <v>10.933333333333332</v>
      </c>
      <c r="H93" s="80">
        <f>246.3*200/150</f>
        <v>328.4</v>
      </c>
      <c r="I93" s="12">
        <v>368</v>
      </c>
    </row>
    <row r="94" spans="1:34">
      <c r="A94" s="104"/>
      <c r="B94" s="29" t="s">
        <v>30</v>
      </c>
      <c r="C94" s="1" t="s">
        <v>12</v>
      </c>
      <c r="D94" s="1">
        <v>180</v>
      </c>
      <c r="E94" s="81">
        <f>7.5*200/150</f>
        <v>10</v>
      </c>
      <c r="F94" s="81">
        <f>6.9*200/150</f>
        <v>9.1999999999999993</v>
      </c>
      <c r="G94" s="81">
        <f>31.1*200/150</f>
        <v>41.466666666666669</v>
      </c>
      <c r="H94" s="81">
        <f>196*200/150</f>
        <v>261.33333333333331</v>
      </c>
      <c r="I94" s="1">
        <v>255</v>
      </c>
    </row>
    <row r="95" spans="1:34">
      <c r="A95" s="104"/>
      <c r="B95" s="13" t="s">
        <v>62</v>
      </c>
      <c r="C95" s="11" t="s">
        <v>12</v>
      </c>
      <c r="D95" s="54">
        <v>20</v>
      </c>
      <c r="E95" s="81">
        <f>4.64*200/150</f>
        <v>6.1866666666666656</v>
      </c>
      <c r="F95" s="81">
        <f>5.9*200/150</f>
        <v>7.8666666666666663</v>
      </c>
      <c r="G95" s="81">
        <v>0</v>
      </c>
      <c r="H95" s="81">
        <f>71.6*200/150</f>
        <v>95.466666666666654</v>
      </c>
      <c r="I95" s="12">
        <v>75</v>
      </c>
    </row>
    <row r="96" spans="1:34">
      <c r="A96" s="104"/>
      <c r="B96" s="39" t="s">
        <v>14</v>
      </c>
      <c r="C96" s="55" t="s">
        <v>12</v>
      </c>
      <c r="D96" s="53">
        <v>200</v>
      </c>
      <c r="E96" s="91">
        <f>0.3*200/150</f>
        <v>0.4</v>
      </c>
      <c r="F96" s="91">
        <f>0.1*200/150</f>
        <v>0.13333333333333333</v>
      </c>
      <c r="G96" s="91">
        <f>9.5*200/150</f>
        <v>12.666666666666666</v>
      </c>
      <c r="H96" s="91">
        <f>40*200/150</f>
        <v>53.333333333333336</v>
      </c>
      <c r="I96" s="58">
        <v>459</v>
      </c>
    </row>
    <row r="97" spans="1:9">
      <c r="A97" s="104"/>
      <c r="B97" s="29" t="s">
        <v>23</v>
      </c>
      <c r="C97" s="11" t="s">
        <v>12</v>
      </c>
      <c r="D97" s="1">
        <v>30</v>
      </c>
      <c r="E97" s="81">
        <f>2.25*200/150</f>
        <v>3</v>
      </c>
      <c r="F97" s="81">
        <f>0.87*200/150</f>
        <v>1.1599999999999999</v>
      </c>
      <c r="G97" s="81">
        <f>15.42*200/150</f>
        <v>20.56</v>
      </c>
      <c r="H97" s="81">
        <f>78.3*200/150</f>
        <v>104.4</v>
      </c>
      <c r="I97" s="12">
        <v>576</v>
      </c>
    </row>
    <row r="98" spans="1:9">
      <c r="A98" s="22"/>
      <c r="B98" s="23" t="s">
        <v>0</v>
      </c>
      <c r="C98" s="9"/>
      <c r="D98" s="19">
        <f>SUM(D93:D97)</f>
        <v>530</v>
      </c>
      <c r="E98" s="87">
        <f>SUM(E93:E97)</f>
        <v>43.053333333333335</v>
      </c>
      <c r="F98" s="87">
        <f>SUM(F93:F97)</f>
        <v>41.826666666666668</v>
      </c>
      <c r="G98" s="87">
        <f>SUM(G93:G97)</f>
        <v>85.626666666666665</v>
      </c>
      <c r="H98" s="87">
        <f>SUM(H93:H97)</f>
        <v>842.93333333333339</v>
      </c>
      <c r="I98" s="22"/>
    </row>
    <row r="99" spans="1:9">
      <c r="A99" s="42"/>
      <c r="B99" s="19" t="s">
        <v>35</v>
      </c>
      <c r="C99" s="19"/>
      <c r="D99" s="35"/>
      <c r="E99" s="80"/>
      <c r="F99" s="80"/>
      <c r="G99" s="80"/>
      <c r="H99" s="80"/>
      <c r="I99" s="42"/>
    </row>
    <row r="100" spans="1:9">
      <c r="A100" s="112"/>
      <c r="B100" s="21" t="s">
        <v>82</v>
      </c>
      <c r="C100" s="11" t="s">
        <v>12</v>
      </c>
      <c r="D100" s="1">
        <v>100</v>
      </c>
      <c r="E100" s="81">
        <f>1.8*200/150</f>
        <v>2.4</v>
      </c>
      <c r="F100" s="81">
        <f>12.2*200/150</f>
        <v>16.266666666666666</v>
      </c>
      <c r="G100" s="81">
        <f>0.1*200/150</f>
        <v>0.13333333333333333</v>
      </c>
      <c r="H100" s="81">
        <f>111.5*200/150</f>
        <v>148.66666666666666</v>
      </c>
      <c r="I100" s="1">
        <v>1</v>
      </c>
    </row>
    <row r="101" spans="1:9" ht="25.5">
      <c r="A101" s="110"/>
      <c r="B101" s="21" t="s">
        <v>66</v>
      </c>
      <c r="C101" s="9" t="s">
        <v>12</v>
      </c>
      <c r="D101" s="68">
        <v>250</v>
      </c>
      <c r="E101" s="89">
        <f>5.1*200/150</f>
        <v>6.7999999999999989</v>
      </c>
      <c r="F101" s="89">
        <f>8.8*200/150</f>
        <v>11.733333333333334</v>
      </c>
      <c r="G101" s="89">
        <f>17.6*200/150</f>
        <v>23.466666666666669</v>
      </c>
      <c r="H101" s="89">
        <f>152.3*200/150</f>
        <v>203.06666666666669</v>
      </c>
      <c r="I101" s="68">
        <v>100</v>
      </c>
    </row>
    <row r="102" spans="1:9">
      <c r="A102" s="110"/>
      <c r="B102" s="39" t="s">
        <v>72</v>
      </c>
      <c r="C102" s="38" t="s">
        <v>12</v>
      </c>
      <c r="D102" s="1">
        <v>100</v>
      </c>
      <c r="E102" s="81">
        <f>15.1*200/150</f>
        <v>20.133333333333333</v>
      </c>
      <c r="F102" s="81">
        <f>14.1*200/150</f>
        <v>18.8</v>
      </c>
      <c r="G102" s="81">
        <f>9.9*200/150</f>
        <v>13.2</v>
      </c>
      <c r="H102" s="81">
        <f>202.6*200/150</f>
        <v>270.13333333333333</v>
      </c>
      <c r="I102" s="57">
        <v>348</v>
      </c>
    </row>
    <row r="103" spans="1:9">
      <c r="A103" s="110"/>
      <c r="B103" s="36" t="s">
        <v>74</v>
      </c>
      <c r="C103" s="37" t="s">
        <v>12</v>
      </c>
      <c r="D103" s="42">
        <v>180</v>
      </c>
      <c r="E103" s="80">
        <f>9.6*200/150</f>
        <v>12.8</v>
      </c>
      <c r="F103" s="80">
        <f>8.8*200/150</f>
        <v>11.733333333333334</v>
      </c>
      <c r="G103" s="80">
        <f>38.2*200/150</f>
        <v>50.933333333333337</v>
      </c>
      <c r="H103" s="80">
        <f>275.3*200/150</f>
        <v>367.06666666666666</v>
      </c>
      <c r="I103" s="42">
        <v>202</v>
      </c>
    </row>
    <row r="104" spans="1:9">
      <c r="A104" s="110"/>
      <c r="B104" s="29" t="s">
        <v>15</v>
      </c>
      <c r="C104" s="9" t="s">
        <v>12</v>
      </c>
      <c r="D104" s="42">
        <v>200</v>
      </c>
      <c r="E104" s="80">
        <f>0.6*200/150</f>
        <v>0.8</v>
      </c>
      <c r="F104" s="80">
        <f>0.27*200/150</f>
        <v>0.36</v>
      </c>
      <c r="G104" s="80">
        <f>18.3*200/150</f>
        <v>24.4</v>
      </c>
      <c r="H104" s="80">
        <f>78*200/150</f>
        <v>104</v>
      </c>
      <c r="I104" s="42">
        <v>496</v>
      </c>
    </row>
    <row r="105" spans="1:9">
      <c r="A105" s="110"/>
      <c r="B105" s="29" t="s">
        <v>23</v>
      </c>
      <c r="C105" s="11" t="s">
        <v>12</v>
      </c>
      <c r="D105" s="1">
        <v>30</v>
      </c>
      <c r="E105" s="81">
        <f>2.04*200/150</f>
        <v>2.72</v>
      </c>
      <c r="F105" s="81">
        <f>0.39*200/150</f>
        <v>0.52</v>
      </c>
      <c r="G105" s="81">
        <f>11.94*200/150</f>
        <v>15.92</v>
      </c>
      <c r="H105" s="81">
        <f>59.4*200/150</f>
        <v>79.2</v>
      </c>
      <c r="I105" s="1">
        <v>575</v>
      </c>
    </row>
    <row r="106" spans="1:9">
      <c r="A106" s="111"/>
      <c r="B106" s="29"/>
      <c r="C106" s="11"/>
      <c r="D106" s="1"/>
      <c r="E106" s="81"/>
      <c r="F106" s="81"/>
      <c r="G106" s="81"/>
      <c r="H106" s="81"/>
      <c r="I106" s="12"/>
    </row>
    <row r="107" spans="1:9">
      <c r="A107" s="42"/>
      <c r="B107" s="28" t="s">
        <v>8</v>
      </c>
      <c r="C107" s="28"/>
      <c r="D107" s="19">
        <f>SUM(D100:D106)</f>
        <v>860</v>
      </c>
      <c r="E107" s="87">
        <f>SUM(E100:E106)</f>
        <v>45.653333333333329</v>
      </c>
      <c r="F107" s="87">
        <f t="shared" ref="F107:H107" si="1">SUM(F100:F106)</f>
        <v>59.413333333333334</v>
      </c>
      <c r="G107" s="87">
        <f t="shared" si="1"/>
        <v>128.05333333333331</v>
      </c>
      <c r="H107" s="87">
        <f t="shared" si="1"/>
        <v>1172.1333333333334</v>
      </c>
      <c r="I107" s="42"/>
    </row>
    <row r="108" spans="1:9">
      <c r="A108" s="42"/>
      <c r="B108" s="19" t="s">
        <v>36</v>
      </c>
      <c r="C108" s="19"/>
      <c r="D108" s="27"/>
      <c r="E108" s="80"/>
      <c r="F108" s="80"/>
      <c r="G108" s="80"/>
      <c r="H108" s="80"/>
      <c r="I108" s="42"/>
    </row>
    <row r="109" spans="1:9">
      <c r="A109" s="112"/>
      <c r="B109" s="36" t="s">
        <v>58</v>
      </c>
      <c r="C109" s="38" t="s">
        <v>12</v>
      </c>
      <c r="D109" s="1">
        <v>200</v>
      </c>
      <c r="E109" s="81">
        <v>1</v>
      </c>
      <c r="F109" s="81">
        <v>0</v>
      </c>
      <c r="G109" s="81">
        <v>0</v>
      </c>
      <c r="H109" s="81">
        <v>110</v>
      </c>
      <c r="I109" s="1">
        <v>518</v>
      </c>
    </row>
    <row r="110" spans="1:9">
      <c r="A110" s="110"/>
      <c r="B110" s="27" t="s">
        <v>100</v>
      </c>
      <c r="C110" s="37" t="s">
        <v>12</v>
      </c>
      <c r="D110" s="1">
        <v>80</v>
      </c>
      <c r="E110" s="81">
        <v>0.9</v>
      </c>
      <c r="F110" s="81">
        <v>26.2</v>
      </c>
      <c r="G110" s="81">
        <v>87.2</v>
      </c>
      <c r="H110" s="81">
        <v>159.30000000000001</v>
      </c>
      <c r="I110" s="42" t="s">
        <v>47</v>
      </c>
    </row>
    <row r="111" spans="1:9">
      <c r="A111" s="111"/>
      <c r="B111" s="27" t="s">
        <v>97</v>
      </c>
      <c r="C111" s="9" t="s">
        <v>12</v>
      </c>
      <c r="D111" s="56">
        <v>200</v>
      </c>
      <c r="E111" s="81">
        <v>0.8</v>
      </c>
      <c r="F111" s="81">
        <v>0.2</v>
      </c>
      <c r="G111" s="81">
        <v>7.5</v>
      </c>
      <c r="H111" s="81">
        <v>94</v>
      </c>
      <c r="I111" s="12">
        <v>82</v>
      </c>
    </row>
    <row r="112" spans="1:9">
      <c r="A112" s="27"/>
      <c r="B112" s="28" t="s">
        <v>9</v>
      </c>
      <c r="C112" s="28"/>
      <c r="D112" s="19">
        <f>SUM(D109:D111)</f>
        <v>480</v>
      </c>
      <c r="E112" s="87">
        <f>SUM(E109:E111)</f>
        <v>2.7</v>
      </c>
      <c r="F112" s="87">
        <f t="shared" ref="F112" si="2">SUM(F109:F111)</f>
        <v>26.4</v>
      </c>
      <c r="G112" s="87">
        <f>G109+G110+G111</f>
        <v>94.7</v>
      </c>
      <c r="H112" s="87">
        <f>H109+H110+H111</f>
        <v>363.3</v>
      </c>
      <c r="I112" s="27"/>
    </row>
    <row r="113" spans="1:9">
      <c r="A113" s="27"/>
      <c r="B113" s="28" t="s">
        <v>10</v>
      </c>
      <c r="C113" s="28"/>
      <c r="D113" s="27"/>
      <c r="E113" s="87">
        <f t="shared" ref="E113:H113" si="3">E98+E107+E112</f>
        <v>91.406666666666666</v>
      </c>
      <c r="F113" s="87">
        <f t="shared" si="3"/>
        <v>127.64000000000001</v>
      </c>
      <c r="G113" s="87">
        <f t="shared" si="3"/>
        <v>308.38</v>
      </c>
      <c r="H113" s="87">
        <f t="shared" si="3"/>
        <v>2378.3666666666668</v>
      </c>
      <c r="I113" s="27"/>
    </row>
    <row r="114" spans="1:9">
      <c r="A114" s="43" t="s">
        <v>69</v>
      </c>
      <c r="B114" s="43" t="s">
        <v>34</v>
      </c>
      <c r="C114" s="48"/>
      <c r="D114" s="48"/>
      <c r="E114" s="94"/>
      <c r="F114" s="95"/>
      <c r="G114" s="95"/>
      <c r="H114" s="96"/>
      <c r="I114" s="43"/>
    </row>
    <row r="115" spans="1:9" ht="25.5">
      <c r="A115" s="103" t="s">
        <v>41</v>
      </c>
      <c r="B115" s="8" t="s">
        <v>93</v>
      </c>
      <c r="C115" s="11" t="s">
        <v>12</v>
      </c>
      <c r="D115" s="42">
        <v>200</v>
      </c>
      <c r="E115" s="80">
        <f>31.6*200/150</f>
        <v>42.133333333333333</v>
      </c>
      <c r="F115" s="80">
        <f>10.6*200/150</f>
        <v>14.133333333333333</v>
      </c>
      <c r="G115" s="80">
        <f>35.38*200/150</f>
        <v>47.173333333333339</v>
      </c>
      <c r="H115" s="80">
        <f>364*200/150</f>
        <v>485.33333333333331</v>
      </c>
      <c r="I115" s="12">
        <v>286</v>
      </c>
    </row>
    <row r="116" spans="1:9">
      <c r="A116" s="104"/>
      <c r="B116" s="13" t="s">
        <v>33</v>
      </c>
      <c r="C116" s="11" t="s">
        <v>12</v>
      </c>
      <c r="D116" s="1">
        <v>15</v>
      </c>
      <c r="E116" s="81">
        <f>0.1*200/150</f>
        <v>0.13333333333333333</v>
      </c>
      <c r="F116" s="81">
        <f>8.2*200/150</f>
        <v>10.933333333333332</v>
      </c>
      <c r="G116" s="81">
        <v>0</v>
      </c>
      <c r="H116" s="81">
        <f>74.8*200/150</f>
        <v>99.733333333333334</v>
      </c>
      <c r="I116" s="1">
        <v>79</v>
      </c>
    </row>
    <row r="117" spans="1:9">
      <c r="A117" s="104"/>
      <c r="B117" s="29" t="s">
        <v>23</v>
      </c>
      <c r="C117" s="11" t="s">
        <v>12</v>
      </c>
      <c r="D117" s="1">
        <v>30</v>
      </c>
      <c r="E117" s="81">
        <f>1.5*200/150</f>
        <v>2</v>
      </c>
      <c r="F117" s="81">
        <f>0.58*200/150</f>
        <v>0.77333333333333321</v>
      </c>
      <c r="G117" s="81">
        <f>10.28*200/150</f>
        <v>13.706666666666667</v>
      </c>
      <c r="H117" s="81">
        <f>52.4*200/150</f>
        <v>69.86666666666666</v>
      </c>
      <c r="I117" s="12">
        <v>111</v>
      </c>
    </row>
    <row r="118" spans="1:9">
      <c r="A118" s="104"/>
      <c r="B118" s="39" t="s">
        <v>78</v>
      </c>
      <c r="C118" s="38" t="s">
        <v>12</v>
      </c>
      <c r="D118" s="53">
        <v>200</v>
      </c>
      <c r="E118" s="91">
        <f>0.3*200/150</f>
        <v>0.4</v>
      </c>
      <c r="F118" s="91">
        <f>0.1*200/150</f>
        <v>0.13333333333333333</v>
      </c>
      <c r="G118" s="91">
        <f>9.5*200/150</f>
        <v>12.666666666666666</v>
      </c>
      <c r="H118" s="91">
        <f>40*200/150</f>
        <v>53.333333333333336</v>
      </c>
      <c r="I118" s="58">
        <v>459</v>
      </c>
    </row>
    <row r="119" spans="1:9">
      <c r="A119" s="7"/>
      <c r="B119" s="31" t="s">
        <v>0</v>
      </c>
      <c r="C119" s="11"/>
      <c r="D119" s="62">
        <f>SUM(D115:D118)</f>
        <v>445</v>
      </c>
      <c r="E119" s="82">
        <f>SUM(E115:E118)</f>
        <v>44.666666666666664</v>
      </c>
      <c r="F119" s="82">
        <f>SUM(F115:F118)</f>
        <v>25.973333333333329</v>
      </c>
      <c r="G119" s="82">
        <f>G115+G116+G117+G118</f>
        <v>73.546666666666681</v>
      </c>
      <c r="H119" s="82">
        <f>H115+H117+H116+H118</f>
        <v>708.26666666666665</v>
      </c>
      <c r="I119" s="12"/>
    </row>
    <row r="120" spans="1:9">
      <c r="A120" s="69"/>
      <c r="B120" s="33" t="s">
        <v>35</v>
      </c>
      <c r="C120" s="33"/>
      <c r="D120" s="11"/>
      <c r="E120" s="83"/>
      <c r="F120" s="82"/>
      <c r="G120" s="82"/>
      <c r="H120" s="82"/>
      <c r="I120" s="12"/>
    </row>
    <row r="121" spans="1:9">
      <c r="A121" s="110"/>
      <c r="B121" s="21" t="s">
        <v>40</v>
      </c>
      <c r="C121" s="9" t="s">
        <v>12</v>
      </c>
      <c r="D121" s="42">
        <v>100</v>
      </c>
      <c r="E121" s="80">
        <f>1.25*200/150</f>
        <v>1.6666666666666667</v>
      </c>
      <c r="F121" s="80">
        <f>6.25*200/150</f>
        <v>8.3333333333333339</v>
      </c>
      <c r="G121" s="80">
        <f>8.1*200/150</f>
        <v>10.8</v>
      </c>
      <c r="H121" s="80">
        <f>89*200/150</f>
        <v>118.66666666666667</v>
      </c>
      <c r="I121" s="42">
        <v>22</v>
      </c>
    </row>
    <row r="122" spans="1:9" ht="25.5">
      <c r="A122" s="110"/>
      <c r="B122" s="21" t="s">
        <v>106</v>
      </c>
      <c r="C122" s="9" t="s">
        <v>12</v>
      </c>
      <c r="D122" s="68">
        <v>250</v>
      </c>
      <c r="E122" s="89">
        <f>1.48*200/150</f>
        <v>1.9733333333333334</v>
      </c>
      <c r="F122" s="89">
        <f>4.4*200/150</f>
        <v>5.8666666666666671</v>
      </c>
      <c r="G122" s="89">
        <f>6.95*200/150</f>
        <v>9.2666666666666675</v>
      </c>
      <c r="H122" s="89">
        <f>75*200/150</f>
        <v>100</v>
      </c>
      <c r="I122" s="68">
        <v>95</v>
      </c>
    </row>
    <row r="123" spans="1:9">
      <c r="A123" s="110"/>
      <c r="B123" s="39" t="s">
        <v>39</v>
      </c>
      <c r="C123" s="11" t="s">
        <v>12</v>
      </c>
      <c r="D123" s="1">
        <v>100</v>
      </c>
      <c r="E123" s="81">
        <f>20*200/150</f>
        <v>26.666666666666668</v>
      </c>
      <c r="F123" s="81">
        <f>18.2*200/150</f>
        <v>24.266666666666666</v>
      </c>
      <c r="G123" s="81">
        <f>10.67*200/150</f>
        <v>14.226666666666667</v>
      </c>
      <c r="H123" s="81">
        <f>255*200/150</f>
        <v>340</v>
      </c>
      <c r="I123" s="1">
        <v>372</v>
      </c>
    </row>
    <row r="124" spans="1:9">
      <c r="A124" s="110"/>
      <c r="B124" s="35" t="s">
        <v>25</v>
      </c>
      <c r="C124" s="37" t="s">
        <v>12</v>
      </c>
      <c r="D124" s="1">
        <v>180</v>
      </c>
      <c r="E124" s="81">
        <f>7.5*200/150</f>
        <v>10</v>
      </c>
      <c r="F124" s="81">
        <f>6.9*200/150</f>
        <v>9.1999999999999993</v>
      </c>
      <c r="G124" s="81">
        <f>31.1*200/150</f>
        <v>41.466666666666669</v>
      </c>
      <c r="H124" s="81">
        <f>196*200/150</f>
        <v>261.33333333333331</v>
      </c>
      <c r="I124" s="42">
        <v>202</v>
      </c>
    </row>
    <row r="125" spans="1:9">
      <c r="A125" s="110"/>
      <c r="B125" s="18" t="s">
        <v>31</v>
      </c>
      <c r="C125" s="9" t="s">
        <v>12</v>
      </c>
      <c r="D125" s="1">
        <v>200</v>
      </c>
      <c r="E125" s="81">
        <f>0.1*200/150</f>
        <v>0.13333333333333333</v>
      </c>
      <c r="F125" s="81">
        <f>0.1*200/150</f>
        <v>0.13333333333333333</v>
      </c>
      <c r="G125" s="81">
        <f>11.1*200/150</f>
        <v>14.8</v>
      </c>
      <c r="H125" s="81">
        <f>46*200/150</f>
        <v>61.333333333333336</v>
      </c>
      <c r="I125" s="1">
        <v>486</v>
      </c>
    </row>
    <row r="126" spans="1:9">
      <c r="A126" s="111"/>
      <c r="B126" s="29" t="s">
        <v>15</v>
      </c>
      <c r="C126" s="11" t="s">
        <v>12</v>
      </c>
      <c r="D126" s="1">
        <v>30</v>
      </c>
      <c r="E126" s="81">
        <f>1.98*200/150</f>
        <v>2.64</v>
      </c>
      <c r="F126" s="81">
        <f>0.36*200/150</f>
        <v>0.48</v>
      </c>
      <c r="G126" s="81">
        <f>10.2*200/150</f>
        <v>13.599999999999998</v>
      </c>
      <c r="H126" s="81">
        <f>54.3*200/150</f>
        <v>72.400000000000006</v>
      </c>
      <c r="I126" s="1">
        <v>110</v>
      </c>
    </row>
    <row r="127" spans="1:9">
      <c r="A127" s="42"/>
      <c r="B127" s="29" t="s">
        <v>23</v>
      </c>
      <c r="C127" s="11" t="s">
        <v>12</v>
      </c>
      <c r="D127" s="1">
        <v>20</v>
      </c>
      <c r="E127" s="81">
        <f>1.5*200/150</f>
        <v>2</v>
      </c>
      <c r="F127" s="81">
        <f>0.58*200/150</f>
        <v>0.77333333333333321</v>
      </c>
      <c r="G127" s="81">
        <f>10.28*200/150</f>
        <v>13.706666666666667</v>
      </c>
      <c r="H127" s="81">
        <f>52.4*200/150</f>
        <v>69.86666666666666</v>
      </c>
      <c r="I127" s="12">
        <v>111</v>
      </c>
    </row>
    <row r="128" spans="1:9">
      <c r="A128" s="42"/>
      <c r="B128" s="34" t="s">
        <v>8</v>
      </c>
      <c r="C128" s="3"/>
      <c r="D128" s="3">
        <f>D121+D122+D123+D125+D126+D127</f>
        <v>700</v>
      </c>
      <c r="E128" s="85">
        <f>SUM(E122:E127)</f>
        <v>43.413333333333334</v>
      </c>
      <c r="F128" s="85">
        <f>SUM(F122:F127)</f>
        <v>40.719999999999992</v>
      </c>
      <c r="G128" s="85">
        <f>G121+G122+G123+G124+G125+G126+G127</f>
        <v>117.86666666666666</v>
      </c>
      <c r="H128" s="85">
        <f>SUM(H122:H127)</f>
        <v>904.93333333333328</v>
      </c>
      <c r="I128" s="1"/>
    </row>
    <row r="129" spans="1:9">
      <c r="A129" s="112"/>
      <c r="B129" s="3" t="s">
        <v>36</v>
      </c>
      <c r="C129" s="3"/>
      <c r="D129" s="1"/>
      <c r="E129" s="81"/>
      <c r="F129" s="81"/>
      <c r="G129" s="81"/>
      <c r="H129" s="81"/>
      <c r="I129" s="1"/>
    </row>
    <row r="130" spans="1:9">
      <c r="A130" s="110"/>
      <c r="B130" s="36" t="s">
        <v>27</v>
      </c>
      <c r="C130" s="38" t="s">
        <v>12</v>
      </c>
      <c r="D130" s="1">
        <v>200</v>
      </c>
      <c r="E130" s="81">
        <v>1</v>
      </c>
      <c r="F130" s="81">
        <v>0</v>
      </c>
      <c r="G130" s="81">
        <v>0</v>
      </c>
      <c r="H130" s="81">
        <v>110</v>
      </c>
      <c r="I130" s="1">
        <v>518</v>
      </c>
    </row>
    <row r="131" spans="1:9">
      <c r="A131" s="111"/>
      <c r="B131" s="36" t="s">
        <v>99</v>
      </c>
      <c r="C131" s="38" t="s">
        <v>12</v>
      </c>
      <c r="D131" s="1">
        <v>80</v>
      </c>
      <c r="E131" s="81">
        <v>0.9</v>
      </c>
      <c r="F131" s="81">
        <v>26.2</v>
      </c>
      <c r="G131" s="81">
        <v>87.2</v>
      </c>
      <c r="H131" s="81">
        <v>319</v>
      </c>
      <c r="I131" s="1" t="s">
        <v>61</v>
      </c>
    </row>
    <row r="132" spans="1:9">
      <c r="A132" s="1"/>
      <c r="B132" s="29" t="s">
        <v>98</v>
      </c>
      <c r="C132" s="11" t="s">
        <v>12</v>
      </c>
      <c r="D132" s="56">
        <v>200</v>
      </c>
      <c r="E132" s="81">
        <v>0.8</v>
      </c>
      <c r="F132" s="81">
        <v>0.2</v>
      </c>
      <c r="G132" s="81">
        <v>7.5</v>
      </c>
      <c r="H132" s="81">
        <v>94</v>
      </c>
      <c r="I132" s="12">
        <v>82</v>
      </c>
    </row>
    <row r="133" spans="1:9">
      <c r="A133" s="1"/>
      <c r="B133" s="3" t="s">
        <v>9</v>
      </c>
      <c r="C133" s="11"/>
      <c r="D133" s="3">
        <f ca="1">SUM(D129:D153)</f>
        <v>400</v>
      </c>
      <c r="E133" s="85">
        <f>E129+E130+E131</f>
        <v>1.9</v>
      </c>
      <c r="F133" s="85">
        <f>F129+F130+F131</f>
        <v>26.2</v>
      </c>
      <c r="G133" s="85">
        <f>G130+G131+G132</f>
        <v>94.7</v>
      </c>
      <c r="H133" s="85">
        <f>H130+H131+H132</f>
        <v>523</v>
      </c>
      <c r="I133" s="1"/>
    </row>
    <row r="134" spans="1:9">
      <c r="A134" s="1"/>
      <c r="B134" s="3" t="s">
        <v>10</v>
      </c>
      <c r="C134" s="3"/>
      <c r="D134" s="1"/>
      <c r="E134" s="85">
        <f>E119+E128+E133</f>
        <v>89.98</v>
      </c>
      <c r="F134" s="85">
        <f>F119+F128+F133</f>
        <v>92.893333333333331</v>
      </c>
      <c r="G134" s="85">
        <f>G119+G128+G133</f>
        <v>286.11333333333334</v>
      </c>
      <c r="H134" s="85">
        <f>H119+H128+H133</f>
        <v>2136.1999999999998</v>
      </c>
      <c r="I134" s="1"/>
    </row>
    <row r="135" spans="1:9">
      <c r="A135" s="46" t="s">
        <v>71</v>
      </c>
      <c r="B135" s="43" t="s">
        <v>34</v>
      </c>
      <c r="C135" s="43"/>
      <c r="D135" s="47"/>
      <c r="E135" s="86"/>
      <c r="F135" s="86"/>
      <c r="G135" s="86"/>
      <c r="H135" s="86"/>
      <c r="I135" s="46"/>
    </row>
    <row r="136" spans="1:9">
      <c r="A136" s="112" t="s">
        <v>42</v>
      </c>
      <c r="B136" s="18" t="s">
        <v>101</v>
      </c>
      <c r="C136" s="11" t="s">
        <v>12</v>
      </c>
      <c r="D136" s="1">
        <v>200</v>
      </c>
      <c r="E136" s="81">
        <f>1.6*200/150</f>
        <v>2.1333333333333333</v>
      </c>
      <c r="F136" s="81">
        <f>7.9*200/150</f>
        <v>10.533333333333333</v>
      </c>
      <c r="G136" s="81">
        <f>7.2*200/150</f>
        <v>9.6</v>
      </c>
      <c r="H136" s="81">
        <f>286.4*200/150</f>
        <v>381.86666666666662</v>
      </c>
      <c r="I136" s="1">
        <v>268</v>
      </c>
    </row>
    <row r="137" spans="1:9">
      <c r="A137" s="110"/>
      <c r="B137" s="13" t="s">
        <v>62</v>
      </c>
      <c r="C137" s="1" t="s">
        <v>12</v>
      </c>
      <c r="D137" s="54">
        <v>20</v>
      </c>
      <c r="E137" s="81">
        <f>4.64*200/150</f>
        <v>6.1866666666666656</v>
      </c>
      <c r="F137" s="81">
        <f>5.9*200/150</f>
        <v>7.8666666666666663</v>
      </c>
      <c r="G137" s="81">
        <v>0</v>
      </c>
      <c r="H137" s="81">
        <f>71.6*200/150</f>
        <v>95.466666666666654</v>
      </c>
      <c r="I137" s="12">
        <v>75</v>
      </c>
    </row>
    <row r="138" spans="1:9">
      <c r="A138" s="110"/>
      <c r="B138" s="13" t="s">
        <v>7</v>
      </c>
      <c r="C138" s="1" t="s">
        <v>12</v>
      </c>
      <c r="D138" s="1">
        <v>200</v>
      </c>
      <c r="E138" s="81">
        <f>2.8*200/150</f>
        <v>3.7333333333333334</v>
      </c>
      <c r="F138" s="81">
        <f>2.5*200/150</f>
        <v>3.3333333333333335</v>
      </c>
      <c r="G138" s="81">
        <f>13.6*200/150</f>
        <v>18.133333333333333</v>
      </c>
      <c r="H138" s="81">
        <f>88*200/150</f>
        <v>117.33333333333333</v>
      </c>
      <c r="I138" s="63">
        <v>465</v>
      </c>
    </row>
    <row r="139" spans="1:9">
      <c r="A139" s="110"/>
      <c r="B139" s="29" t="s">
        <v>23</v>
      </c>
      <c r="C139" s="11" t="s">
        <v>12</v>
      </c>
      <c r="D139" s="1">
        <v>30</v>
      </c>
      <c r="E139" s="81">
        <f>2.25*200/150</f>
        <v>3</v>
      </c>
      <c r="F139" s="81">
        <f>0.87*200/150</f>
        <v>1.1599999999999999</v>
      </c>
      <c r="G139" s="81">
        <f>15.42*200/150</f>
        <v>20.56</v>
      </c>
      <c r="H139" s="81">
        <f>78.3*200/150</f>
        <v>104.4</v>
      </c>
      <c r="I139" s="12">
        <v>576</v>
      </c>
    </row>
    <row r="140" spans="1:9">
      <c r="A140" s="111"/>
      <c r="B140" s="29"/>
      <c r="C140" s="11" t="s">
        <v>12</v>
      </c>
      <c r="D140" s="1"/>
      <c r="E140" s="81"/>
      <c r="F140" s="81"/>
      <c r="G140" s="81"/>
      <c r="H140" s="81"/>
      <c r="I140" s="12"/>
    </row>
    <row r="141" spans="1:9">
      <c r="A141" s="22"/>
      <c r="B141" s="23" t="s">
        <v>0</v>
      </c>
      <c r="C141" s="9"/>
      <c r="D141" s="19">
        <f>SUM(D136:D140)</f>
        <v>450</v>
      </c>
      <c r="E141" s="87">
        <f>SUM(E136:E140)</f>
        <v>15.053333333333331</v>
      </c>
      <c r="F141" s="87">
        <f>SUM(F136:F140)</f>
        <v>22.893333333333331</v>
      </c>
      <c r="G141" s="87">
        <f>SUM(G136:G140)</f>
        <v>48.293333333333337</v>
      </c>
      <c r="H141" s="87">
        <f>SUM(H136:H140)</f>
        <v>699.06666666666661</v>
      </c>
      <c r="I141" s="22"/>
    </row>
    <row r="142" spans="1:9">
      <c r="A142" s="42"/>
      <c r="B142" s="19" t="s">
        <v>35</v>
      </c>
      <c r="C142" s="19"/>
      <c r="D142" s="20"/>
      <c r="E142" s="88"/>
      <c r="F142" s="88"/>
      <c r="G142" s="88"/>
      <c r="H142" s="88"/>
      <c r="I142" s="42"/>
    </row>
    <row r="143" spans="1:9">
      <c r="A143" s="110"/>
      <c r="B143" s="18" t="s">
        <v>85</v>
      </c>
      <c r="C143" s="11" t="s">
        <v>12</v>
      </c>
      <c r="D143" s="1">
        <v>100</v>
      </c>
      <c r="E143" s="81">
        <f>0.9*200/150</f>
        <v>1.2</v>
      </c>
      <c r="F143" s="81">
        <f>6*200/150</f>
        <v>8</v>
      </c>
      <c r="G143" s="81">
        <f>2.6*200/150</f>
        <v>3.4666666666666668</v>
      </c>
      <c r="H143" s="81">
        <f>68*200/150</f>
        <v>90.666666666666671</v>
      </c>
      <c r="I143" s="1">
        <v>13</v>
      </c>
    </row>
    <row r="144" spans="1:9" ht="25.5">
      <c r="A144" s="110"/>
      <c r="B144" s="10" t="s">
        <v>64</v>
      </c>
      <c r="C144" s="11" t="s">
        <v>12</v>
      </c>
      <c r="D144" s="67">
        <v>250</v>
      </c>
      <c r="E144" s="84">
        <f>3.1*200/150</f>
        <v>4.1333333333333337</v>
      </c>
      <c r="F144" s="84">
        <f>5.5*200/150</f>
        <v>7.333333333333333</v>
      </c>
      <c r="G144" s="84">
        <f>16.3*200/150</f>
        <v>21.733333333333334</v>
      </c>
      <c r="H144" s="84">
        <f>151.2*200/150</f>
        <v>201.59999999999997</v>
      </c>
      <c r="I144" s="67">
        <v>113</v>
      </c>
    </row>
    <row r="145" spans="1:9">
      <c r="A145" s="110"/>
      <c r="B145" s="10" t="s">
        <v>63</v>
      </c>
      <c r="C145" s="37" t="s">
        <v>12</v>
      </c>
      <c r="D145" s="42">
        <v>280</v>
      </c>
      <c r="E145" s="80">
        <f>23.8*200/150</f>
        <v>31.733333333333334</v>
      </c>
      <c r="F145" s="80">
        <f>26.6*200/150</f>
        <v>35.466666666666669</v>
      </c>
      <c r="G145" s="80">
        <f>50.5*200/150</f>
        <v>67.333333333333329</v>
      </c>
      <c r="H145" s="80">
        <f>536.7*200/150</f>
        <v>715.60000000000014</v>
      </c>
      <c r="I145" s="42">
        <v>330</v>
      </c>
    </row>
    <row r="146" spans="1:9">
      <c r="A146" s="110"/>
      <c r="B146" s="29" t="s">
        <v>13</v>
      </c>
      <c r="C146" s="9" t="s">
        <v>12</v>
      </c>
      <c r="D146" s="42">
        <v>200</v>
      </c>
      <c r="E146" s="80">
        <f>0.5*200/150</f>
        <v>0.66666666666666663</v>
      </c>
      <c r="F146" s="80">
        <v>0</v>
      </c>
      <c r="G146" s="80">
        <f>27*200/150</f>
        <v>36</v>
      </c>
      <c r="H146" s="80">
        <f>72*200/150</f>
        <v>96</v>
      </c>
      <c r="I146" s="42">
        <v>494</v>
      </c>
    </row>
    <row r="147" spans="1:9">
      <c r="A147" s="110"/>
      <c r="B147" s="36" t="s">
        <v>26</v>
      </c>
      <c r="C147" s="11" t="s">
        <v>12</v>
      </c>
      <c r="D147" s="1">
        <v>30</v>
      </c>
      <c r="E147" s="81">
        <f>1.98*200/150</f>
        <v>2.64</v>
      </c>
      <c r="F147" s="81">
        <f>0.36*200/150</f>
        <v>0.48</v>
      </c>
      <c r="G147" s="81">
        <f>10.2*200/150</f>
        <v>13.599999999999998</v>
      </c>
      <c r="H147" s="81">
        <f>54.3*200/150</f>
        <v>72.400000000000006</v>
      </c>
      <c r="I147" s="1">
        <v>110</v>
      </c>
    </row>
    <row r="148" spans="1:9">
      <c r="A148" s="111"/>
      <c r="B148" s="29" t="s">
        <v>15</v>
      </c>
      <c r="C148" s="11" t="s">
        <v>12</v>
      </c>
      <c r="D148" s="1">
        <v>20</v>
      </c>
      <c r="E148" s="81">
        <f>1.5*200/150</f>
        <v>2</v>
      </c>
      <c r="F148" s="81">
        <f>0.58*200/150</f>
        <v>0.77333333333333321</v>
      </c>
      <c r="G148" s="81">
        <f>10.28*200/150</f>
        <v>13.706666666666667</v>
      </c>
      <c r="H148" s="81">
        <f>52.4*200/150</f>
        <v>69.86666666666666</v>
      </c>
      <c r="I148" s="12">
        <v>111</v>
      </c>
    </row>
    <row r="149" spans="1:9">
      <c r="A149" s="42"/>
      <c r="B149" s="29" t="s">
        <v>23</v>
      </c>
      <c r="C149" s="28"/>
      <c r="D149" s="19">
        <f>SUM(D143:D148)</f>
        <v>880</v>
      </c>
      <c r="E149" s="87">
        <f>SUM(E143:E148)</f>
        <v>42.373333333333335</v>
      </c>
      <c r="F149" s="87">
        <f>SUM(F143:F148)</f>
        <v>52.053333333333327</v>
      </c>
      <c r="G149" s="87">
        <f>SUM(G143:G148)</f>
        <v>155.84</v>
      </c>
      <c r="H149" s="87">
        <f>SUM(H143:H148)</f>
        <v>1246.1333333333334</v>
      </c>
      <c r="I149" s="42"/>
    </row>
    <row r="150" spans="1:9">
      <c r="A150" s="42"/>
      <c r="B150" s="19" t="s">
        <v>36</v>
      </c>
      <c r="C150" s="19"/>
      <c r="D150" s="42"/>
      <c r="E150" s="80"/>
      <c r="F150" s="80"/>
      <c r="G150" s="80"/>
      <c r="H150" s="80"/>
      <c r="I150" s="42"/>
    </row>
    <row r="151" spans="1:9">
      <c r="A151" s="112"/>
      <c r="B151" s="27" t="s">
        <v>54</v>
      </c>
      <c r="C151" s="9" t="s">
        <v>12</v>
      </c>
      <c r="D151" s="1">
        <v>200</v>
      </c>
      <c r="E151" s="81">
        <v>2.8</v>
      </c>
      <c r="F151" s="81">
        <v>3.2</v>
      </c>
      <c r="G151" s="81">
        <v>9.5</v>
      </c>
      <c r="H151" s="81">
        <v>91</v>
      </c>
      <c r="I151" s="42" t="s">
        <v>47</v>
      </c>
    </row>
    <row r="152" spans="1:9">
      <c r="A152" s="110"/>
      <c r="B152" s="27" t="s">
        <v>59</v>
      </c>
      <c r="C152" s="9" t="s">
        <v>12</v>
      </c>
      <c r="D152" s="1">
        <v>80</v>
      </c>
      <c r="E152" s="81">
        <v>2.06</v>
      </c>
      <c r="F152" s="81">
        <v>13.2</v>
      </c>
      <c r="G152" s="81">
        <v>47.4</v>
      </c>
      <c r="H152" s="81">
        <v>295</v>
      </c>
      <c r="I152" s="42" t="s">
        <v>47</v>
      </c>
    </row>
    <row r="153" spans="1:9">
      <c r="A153" s="111"/>
      <c r="B153" s="27" t="s">
        <v>52</v>
      </c>
      <c r="C153" s="38" t="s">
        <v>12</v>
      </c>
      <c r="D153" s="56">
        <v>150</v>
      </c>
      <c r="E153" s="81">
        <v>0.8</v>
      </c>
      <c r="F153" s="81">
        <v>0.2</v>
      </c>
      <c r="G153" s="81">
        <v>7.5</v>
      </c>
      <c r="H153" s="81">
        <v>94</v>
      </c>
      <c r="I153" s="12">
        <v>82</v>
      </c>
    </row>
    <row r="154" spans="1:9">
      <c r="A154" s="27"/>
      <c r="B154" s="28" t="s">
        <v>9</v>
      </c>
      <c r="C154" s="9" t="s">
        <v>12</v>
      </c>
      <c r="D154" s="19">
        <f>SUM(D151:D153)</f>
        <v>430</v>
      </c>
      <c r="E154" s="87">
        <f>SUM(E151:E153)</f>
        <v>5.6599999999999993</v>
      </c>
      <c r="F154" s="87">
        <f>SUM(F151:F153)</f>
        <v>16.599999999999998</v>
      </c>
      <c r="G154" s="87">
        <f>SUM(G151:G153)</f>
        <v>64.400000000000006</v>
      </c>
      <c r="H154" s="87">
        <f>SUM(H151:H153)</f>
        <v>480</v>
      </c>
      <c r="I154" s="27"/>
    </row>
    <row r="155" spans="1:9">
      <c r="A155" s="27"/>
      <c r="B155" s="28" t="s">
        <v>10</v>
      </c>
      <c r="C155" s="28"/>
      <c r="D155" s="42"/>
      <c r="E155" s="87">
        <f>E141+E149+E154</f>
        <v>63.086666666666659</v>
      </c>
      <c r="F155" s="87">
        <f>F141+F149+F154</f>
        <v>91.546666666666653</v>
      </c>
      <c r="G155" s="87">
        <f>G141+G149+G154</f>
        <v>268.5333333333333</v>
      </c>
      <c r="H155" s="87">
        <f>H141+H149+H154</f>
        <v>2425.1999999999998</v>
      </c>
      <c r="I155" s="27"/>
    </row>
    <row r="156" spans="1:9">
      <c r="A156" s="43" t="s">
        <v>73</v>
      </c>
      <c r="B156" s="43" t="s">
        <v>34</v>
      </c>
      <c r="C156" s="43"/>
      <c r="D156" s="44"/>
      <c r="E156" s="90"/>
      <c r="F156" s="90"/>
      <c r="G156" s="90"/>
      <c r="H156" s="90"/>
      <c r="I156" s="43"/>
    </row>
    <row r="157" spans="1:9">
      <c r="A157" s="115" t="s">
        <v>43</v>
      </c>
      <c r="B157" s="29" t="s">
        <v>94</v>
      </c>
      <c r="C157" s="11" t="s">
        <v>12</v>
      </c>
      <c r="D157" s="1">
        <v>100</v>
      </c>
      <c r="E157" s="81">
        <f>14.6*200/150</f>
        <v>19.466666666666665</v>
      </c>
      <c r="F157" s="81">
        <f>10.8*200/150</f>
        <v>14.4</v>
      </c>
      <c r="G157" s="81">
        <f>9.8*200/150</f>
        <v>13.066666666666668</v>
      </c>
      <c r="H157" s="81">
        <f>224.3*200/150</f>
        <v>299.06666666666666</v>
      </c>
      <c r="I157" s="1">
        <v>412</v>
      </c>
    </row>
    <row r="158" spans="1:9">
      <c r="A158" s="116"/>
      <c r="B158" s="13" t="s">
        <v>103</v>
      </c>
      <c r="C158" s="1" t="s">
        <v>12</v>
      </c>
      <c r="D158" s="1">
        <v>180</v>
      </c>
      <c r="E158" s="81">
        <f>7.5*200/150</f>
        <v>10</v>
      </c>
      <c r="F158" s="81">
        <f>6.9*200/150</f>
        <v>9.1999999999999993</v>
      </c>
      <c r="G158" s="81">
        <f>31.1*200/150</f>
        <v>41.466666666666669</v>
      </c>
      <c r="H158" s="81">
        <f>196*200/150</f>
        <v>261.33333333333331</v>
      </c>
      <c r="I158" s="1">
        <v>255</v>
      </c>
    </row>
    <row r="159" spans="1:9">
      <c r="A159" s="116"/>
      <c r="B159" s="39" t="s">
        <v>14</v>
      </c>
      <c r="C159" s="1" t="s">
        <v>12</v>
      </c>
      <c r="D159" s="54">
        <v>15</v>
      </c>
      <c r="E159" s="81">
        <f>0.08*200/150</f>
        <v>0.10666666666666667</v>
      </c>
      <c r="F159" s="81">
        <f>7.25*200/150</f>
        <v>9.6666666666666661</v>
      </c>
      <c r="G159" s="81">
        <f>0.13*200/150</f>
        <v>0.17333333333333334</v>
      </c>
      <c r="H159" s="81">
        <f>66.1*200/150</f>
        <v>88.133333333333326</v>
      </c>
      <c r="I159" s="12">
        <v>79</v>
      </c>
    </row>
    <row r="160" spans="1:9">
      <c r="A160" s="116"/>
      <c r="B160" s="29" t="s">
        <v>23</v>
      </c>
      <c r="C160" s="55" t="s">
        <v>12</v>
      </c>
      <c r="D160" s="53">
        <v>200</v>
      </c>
      <c r="E160" s="91">
        <v>0.3</v>
      </c>
      <c r="F160" s="91">
        <f>0.1*200/150</f>
        <v>0.13333333333333333</v>
      </c>
      <c r="G160" s="91">
        <f>9.5*200/150</f>
        <v>12.666666666666666</v>
      </c>
      <c r="H160" s="91">
        <f>40*200/150</f>
        <v>53.333333333333336</v>
      </c>
      <c r="I160" s="58">
        <v>459</v>
      </c>
    </row>
    <row r="161" spans="1:9">
      <c r="A161" s="117"/>
      <c r="B161" s="29"/>
      <c r="C161" s="11"/>
      <c r="D161" s="1"/>
      <c r="E161" s="81"/>
      <c r="F161" s="81"/>
      <c r="G161" s="81"/>
      <c r="H161" s="81"/>
      <c r="I161" s="12"/>
    </row>
    <row r="162" spans="1:9">
      <c r="A162" s="42"/>
      <c r="B162" s="23" t="s">
        <v>0</v>
      </c>
      <c r="C162" s="9"/>
      <c r="D162" s="19">
        <f>D157+D158+D159+D160+D161</f>
        <v>495</v>
      </c>
      <c r="E162" s="87">
        <f>SUM(E157:E161)</f>
        <v>29.873333333333331</v>
      </c>
      <c r="F162" s="87">
        <f>SUM(F157:F161)</f>
        <v>33.4</v>
      </c>
      <c r="G162" s="87">
        <f>SUM(G157:G161)</f>
        <v>67.373333333333335</v>
      </c>
      <c r="H162" s="87">
        <f>SUM(H157:H161)</f>
        <v>701.86666666666667</v>
      </c>
      <c r="I162" s="22"/>
    </row>
    <row r="163" spans="1:9">
      <c r="A163" s="103"/>
      <c r="B163" s="19" t="s">
        <v>35</v>
      </c>
      <c r="C163" s="19"/>
      <c r="D163" s="20"/>
      <c r="E163" s="88"/>
      <c r="F163" s="88"/>
      <c r="G163" s="88"/>
      <c r="H163" s="88"/>
      <c r="I163" s="42"/>
    </row>
    <row r="164" spans="1:9" ht="25.5">
      <c r="A164" s="104"/>
      <c r="B164" s="36" t="s">
        <v>102</v>
      </c>
      <c r="C164" s="38" t="s">
        <v>12</v>
      </c>
      <c r="D164" s="56">
        <v>100</v>
      </c>
      <c r="E164" s="84">
        <f>0.9*200/150</f>
        <v>1.2</v>
      </c>
      <c r="F164" s="84">
        <f>5.1*200/150</f>
        <v>6.7999999999999989</v>
      </c>
      <c r="G164" s="84">
        <f>3.6*200/150</f>
        <v>4.8</v>
      </c>
      <c r="H164" s="84">
        <f>112.3*200/150</f>
        <v>149.73333333333332</v>
      </c>
      <c r="I164" s="66">
        <v>18</v>
      </c>
    </row>
    <row r="165" spans="1:9" ht="25.5">
      <c r="A165" s="104"/>
      <c r="B165" s="21" t="s">
        <v>86</v>
      </c>
      <c r="C165" s="37" t="s">
        <v>12</v>
      </c>
      <c r="D165" s="1">
        <v>250</v>
      </c>
      <c r="E165" s="81">
        <f>1.6*200/150</f>
        <v>2.1333333333333333</v>
      </c>
      <c r="F165" s="81">
        <f>5.08*200/150</f>
        <v>6.7733333333333334</v>
      </c>
      <c r="G165" s="81">
        <f>17.05*200/150</f>
        <v>22.733333333333334</v>
      </c>
      <c r="H165" s="81">
        <f>146.3*200/150</f>
        <v>195.06666666666669</v>
      </c>
      <c r="I165" s="1">
        <v>114</v>
      </c>
    </row>
    <row r="166" spans="1:9">
      <c r="A166" s="104"/>
      <c r="B166" s="13" t="s">
        <v>76</v>
      </c>
      <c r="C166" s="11" t="s">
        <v>12</v>
      </c>
      <c r="D166" s="1">
        <v>100</v>
      </c>
      <c r="E166" s="81">
        <f>14*200/150</f>
        <v>18.666666666666668</v>
      </c>
      <c r="F166" s="81">
        <f>2.3*200/150</f>
        <v>3.0666666666666664</v>
      </c>
      <c r="G166" s="81">
        <f>10*200/150</f>
        <v>13.333333333333334</v>
      </c>
      <c r="H166" s="81">
        <f>116.7*200/150</f>
        <v>155.6</v>
      </c>
      <c r="I166" s="1">
        <v>307</v>
      </c>
    </row>
    <row r="167" spans="1:9">
      <c r="A167" s="104"/>
      <c r="B167" s="36" t="s">
        <v>26</v>
      </c>
      <c r="C167" s="1" t="s">
        <v>12</v>
      </c>
      <c r="D167" s="1">
        <v>180</v>
      </c>
      <c r="E167" s="81">
        <f>6.9*200/150</f>
        <v>9.1999999999999993</v>
      </c>
      <c r="F167" s="81">
        <f>7*200/150</f>
        <v>9.3333333333333339</v>
      </c>
      <c r="G167" s="81">
        <f>31.2*200/150</f>
        <v>41.6</v>
      </c>
      <c r="H167" s="81">
        <f>168.8*200/150</f>
        <v>225.06666666666666</v>
      </c>
      <c r="I167" s="1">
        <v>377</v>
      </c>
    </row>
    <row r="168" spans="1:9">
      <c r="A168" s="114"/>
      <c r="B168" s="29" t="s">
        <v>15</v>
      </c>
      <c r="C168" s="9" t="s">
        <v>12</v>
      </c>
      <c r="D168" s="42">
        <v>200</v>
      </c>
      <c r="E168" s="80">
        <f>0.5*200/150</f>
        <v>0.66666666666666663</v>
      </c>
      <c r="F168" s="80">
        <v>0</v>
      </c>
      <c r="G168" s="80">
        <f>27*200/150</f>
        <v>36</v>
      </c>
      <c r="H168" s="80">
        <f>110*200/150</f>
        <v>146.66666666666666</v>
      </c>
      <c r="I168" s="42">
        <v>508</v>
      </c>
    </row>
    <row r="169" spans="1:9">
      <c r="A169" s="42"/>
      <c r="B169" s="29" t="s">
        <v>23</v>
      </c>
      <c r="C169" s="11" t="s">
        <v>12</v>
      </c>
      <c r="D169" s="1">
        <v>30</v>
      </c>
      <c r="E169" s="81">
        <f>1.98*200/150</f>
        <v>2.64</v>
      </c>
      <c r="F169" s="81">
        <f>0.36*200/150</f>
        <v>0.48</v>
      </c>
      <c r="G169" s="81">
        <f>10.2*200/150</f>
        <v>13.599999999999998</v>
      </c>
      <c r="H169" s="81">
        <f>54.3*200/150</f>
        <v>72.400000000000006</v>
      </c>
      <c r="I169" s="1">
        <v>110</v>
      </c>
    </row>
    <row r="170" spans="1:9">
      <c r="A170" s="42"/>
      <c r="B170" s="29" t="s">
        <v>23</v>
      </c>
      <c r="C170" s="11" t="s">
        <v>12</v>
      </c>
      <c r="D170" s="1">
        <v>30</v>
      </c>
      <c r="E170" s="81">
        <f>3*200/150</f>
        <v>4</v>
      </c>
      <c r="F170" s="81">
        <f>1.06*200/150</f>
        <v>1.4133333333333333</v>
      </c>
      <c r="G170" s="81">
        <f>12.4*200/150</f>
        <v>16.533333333333335</v>
      </c>
      <c r="H170" s="81">
        <f>78.6*200/150</f>
        <v>104.79999999999998</v>
      </c>
      <c r="I170" s="63">
        <v>111</v>
      </c>
    </row>
    <row r="171" spans="1:9">
      <c r="A171" s="112"/>
      <c r="B171" s="28" t="s">
        <v>8</v>
      </c>
      <c r="C171" s="28"/>
      <c r="D171" s="19">
        <f>SUM(D164:D170)</f>
        <v>890</v>
      </c>
      <c r="E171" s="87">
        <f>SUM(E164:E170)</f>
        <v>38.506666666666668</v>
      </c>
      <c r="F171" s="87">
        <f>SUM(F164:F170)</f>
        <v>27.866666666666671</v>
      </c>
      <c r="G171" s="87">
        <f>SUM(G164:G170)</f>
        <v>148.6</v>
      </c>
      <c r="H171" s="87">
        <f>SUM(H164:H170)</f>
        <v>1049.3333333333333</v>
      </c>
      <c r="I171" s="42"/>
    </row>
    <row r="172" spans="1:9">
      <c r="A172" s="111"/>
      <c r="B172" s="19" t="s">
        <v>36</v>
      </c>
      <c r="C172" s="19"/>
      <c r="D172" s="42"/>
      <c r="E172" s="80"/>
      <c r="F172" s="80"/>
      <c r="G172" s="80"/>
      <c r="H172" s="80"/>
      <c r="I172" s="42"/>
    </row>
    <row r="173" spans="1:9">
      <c r="A173" s="27"/>
      <c r="B173" s="36" t="s">
        <v>32</v>
      </c>
      <c r="C173" s="38" t="s">
        <v>12</v>
      </c>
      <c r="D173" s="1">
        <v>200</v>
      </c>
      <c r="E173" s="81">
        <v>1</v>
      </c>
      <c r="F173" s="81">
        <v>0</v>
      </c>
      <c r="G173" s="81">
        <v>0</v>
      </c>
      <c r="H173" s="81">
        <v>110</v>
      </c>
      <c r="I173" s="1">
        <v>518</v>
      </c>
    </row>
    <row r="174" spans="1:9">
      <c r="A174" s="27"/>
      <c r="B174" s="27" t="s">
        <v>51</v>
      </c>
      <c r="C174" s="9" t="s">
        <v>12</v>
      </c>
      <c r="D174" s="1">
        <v>80</v>
      </c>
      <c r="E174" s="81">
        <v>2.06</v>
      </c>
      <c r="F174" s="81">
        <v>13.2</v>
      </c>
      <c r="G174" s="81">
        <v>47.4</v>
      </c>
      <c r="H174" s="81">
        <v>367.8</v>
      </c>
      <c r="I174" s="42" t="s">
        <v>47</v>
      </c>
    </row>
    <row r="175" spans="1:9">
      <c r="A175" s="27"/>
      <c r="B175" s="29" t="s">
        <v>48</v>
      </c>
      <c r="C175" s="11" t="s">
        <v>12</v>
      </c>
      <c r="D175" s="56">
        <v>200</v>
      </c>
      <c r="E175" s="81">
        <v>0.8</v>
      </c>
      <c r="F175" s="81">
        <v>0.2</v>
      </c>
      <c r="G175" s="81">
        <v>7.5</v>
      </c>
      <c r="H175" s="81">
        <v>112.8</v>
      </c>
      <c r="I175" s="12">
        <v>82</v>
      </c>
    </row>
    <row r="176" spans="1:9">
      <c r="A176" s="27"/>
      <c r="B176" s="3" t="s">
        <v>9</v>
      </c>
      <c r="C176" s="11"/>
      <c r="D176" s="3">
        <f ca="1">SUM(D173:D200)</f>
        <v>400</v>
      </c>
      <c r="E176" s="85">
        <f>E173+E174+E175</f>
        <v>3.8600000000000003</v>
      </c>
      <c r="F176" s="85">
        <f>F174+F175</f>
        <v>13.399999999999999</v>
      </c>
      <c r="G176" s="85">
        <f>G174+G175</f>
        <v>54.9</v>
      </c>
      <c r="H176" s="85">
        <f>H173+H174+H175</f>
        <v>590.6</v>
      </c>
      <c r="I176" s="1"/>
    </row>
    <row r="177" spans="1:9">
      <c r="A177" s="27"/>
      <c r="B177" s="3" t="s">
        <v>10</v>
      </c>
      <c r="C177" s="3"/>
      <c r="D177" s="1"/>
      <c r="E177" s="85">
        <f>E162+E171+E176</f>
        <v>72.239999999999995</v>
      </c>
      <c r="F177" s="85">
        <f>F162+F171+F176</f>
        <v>74.666666666666657</v>
      </c>
      <c r="G177" s="85">
        <v>171.9</v>
      </c>
      <c r="H177" s="85">
        <f>H162+H171+H176</f>
        <v>2341.7999999999997</v>
      </c>
      <c r="I177" s="1"/>
    </row>
    <row r="178" spans="1:9">
      <c r="A178" s="43" t="s">
        <v>75</v>
      </c>
      <c r="B178" s="43" t="s">
        <v>34</v>
      </c>
      <c r="C178" s="59"/>
      <c r="D178" s="59"/>
      <c r="E178" s="92"/>
      <c r="F178" s="92"/>
      <c r="G178" s="92"/>
      <c r="H178" s="92"/>
      <c r="I178" s="61"/>
    </row>
    <row r="179" spans="1:9">
      <c r="A179" s="112" t="s">
        <v>44</v>
      </c>
      <c r="B179" s="73" t="s">
        <v>87</v>
      </c>
      <c r="C179" s="11" t="s">
        <v>12</v>
      </c>
      <c r="D179" s="75">
        <v>200</v>
      </c>
      <c r="E179" s="97">
        <f>8.2*200/150</f>
        <v>10.933333333333332</v>
      </c>
      <c r="F179" s="97">
        <f>9.6*200/150</f>
        <v>12.8</v>
      </c>
      <c r="G179" s="97">
        <f>31.23*200/150</f>
        <v>41.64</v>
      </c>
      <c r="H179" s="97">
        <f>236.4*200*150</f>
        <v>7092000</v>
      </c>
      <c r="I179" s="70">
        <v>212</v>
      </c>
    </row>
    <row r="180" spans="1:9">
      <c r="A180" s="110"/>
      <c r="B180" s="18" t="s">
        <v>24</v>
      </c>
      <c r="C180" s="11" t="s">
        <v>12</v>
      </c>
      <c r="D180" s="1">
        <v>40</v>
      </c>
      <c r="E180" s="81">
        <f>5.1*200/150</f>
        <v>6.7999999999999989</v>
      </c>
      <c r="F180" s="81">
        <f>4.6*200/150</f>
        <v>6.1333333333333329</v>
      </c>
      <c r="G180" s="81">
        <f>0.3*200/150</f>
        <v>0.4</v>
      </c>
      <c r="H180" s="81">
        <f>63*200/150</f>
        <v>84</v>
      </c>
      <c r="I180" s="63">
        <v>300</v>
      </c>
    </row>
    <row r="181" spans="1:9">
      <c r="A181" s="110"/>
      <c r="B181" s="13" t="s">
        <v>33</v>
      </c>
      <c r="C181" s="11" t="s">
        <v>12</v>
      </c>
      <c r="D181" s="1">
        <v>20</v>
      </c>
      <c r="E181" s="81">
        <f>3.84*200/150</f>
        <v>5.12</v>
      </c>
      <c r="F181" s="81">
        <f>5.2*200/150</f>
        <v>6.9333333333333336</v>
      </c>
      <c r="G181" s="81">
        <v>0</v>
      </c>
      <c r="H181" s="81">
        <f>68.6*200/150</f>
        <v>91.466666666666654</v>
      </c>
      <c r="I181" s="63">
        <v>100</v>
      </c>
    </row>
    <row r="182" spans="1:9">
      <c r="A182" s="110"/>
      <c r="B182" s="29" t="s">
        <v>23</v>
      </c>
      <c r="C182" s="11" t="s">
        <v>12</v>
      </c>
      <c r="D182" s="1">
        <v>20</v>
      </c>
      <c r="E182" s="81">
        <f>1.5*200/150</f>
        <v>2</v>
      </c>
      <c r="F182" s="81">
        <f>0.58*200/150</f>
        <v>0.77333333333333321</v>
      </c>
      <c r="G182" s="81">
        <f>10*200/150</f>
        <v>13.333333333333334</v>
      </c>
      <c r="H182" s="81">
        <f>52.4*200/150</f>
        <v>69.86666666666666</v>
      </c>
      <c r="I182" s="63">
        <v>111</v>
      </c>
    </row>
    <row r="183" spans="1:9">
      <c r="A183" s="110"/>
      <c r="B183" s="77" t="s">
        <v>11</v>
      </c>
      <c r="C183" s="11" t="s">
        <v>12</v>
      </c>
      <c r="D183" s="1">
        <v>200</v>
      </c>
      <c r="E183" s="81">
        <f>3.3*200/150</f>
        <v>4.4000000000000004</v>
      </c>
      <c r="F183" s="81">
        <f>2.9*200/150</f>
        <v>3.8666666666666667</v>
      </c>
      <c r="G183" s="81">
        <f>13.8*200/150</f>
        <v>18.399999999999999</v>
      </c>
      <c r="H183" s="81">
        <f>94*200/150</f>
        <v>125.33333333333333</v>
      </c>
      <c r="I183" s="12">
        <v>462</v>
      </c>
    </row>
    <row r="184" spans="1:9">
      <c r="A184" s="22"/>
      <c r="B184" s="15" t="s">
        <v>0</v>
      </c>
      <c r="C184" s="16"/>
      <c r="D184" s="64">
        <f>SUM(D179:D183)</f>
        <v>480</v>
      </c>
      <c r="E184" s="93">
        <f>SUM(E179:E183)</f>
        <v>29.25333333333333</v>
      </c>
      <c r="F184" s="93">
        <f>SUM(F179:F183)</f>
        <v>30.506666666666668</v>
      </c>
      <c r="G184" s="93">
        <f>SUM(G179:G183)</f>
        <v>73.773333333333341</v>
      </c>
      <c r="H184" s="93">
        <f>SUM(H179:H183)</f>
        <v>7092370.666666666</v>
      </c>
      <c r="I184" s="65"/>
    </row>
    <row r="185" spans="1:9">
      <c r="A185" s="22"/>
      <c r="B185" s="3" t="s">
        <v>35</v>
      </c>
      <c r="C185" s="16"/>
      <c r="D185" s="17"/>
      <c r="E185" s="93"/>
      <c r="F185" s="93"/>
      <c r="G185" s="93"/>
      <c r="H185" s="93"/>
      <c r="I185" s="14"/>
    </row>
    <row r="186" spans="1:9">
      <c r="A186" s="103"/>
      <c r="B186" s="21" t="s">
        <v>82</v>
      </c>
      <c r="C186" s="38" t="s">
        <v>12</v>
      </c>
      <c r="D186" s="56">
        <v>100</v>
      </c>
      <c r="E186" s="84">
        <f>1.9*200/150</f>
        <v>2.5333333333333332</v>
      </c>
      <c r="F186" s="84">
        <f>5.36*200/150</f>
        <v>7.1466666666666665</v>
      </c>
      <c r="G186" s="84">
        <f>0.8*200/150</f>
        <v>1.0666666666666667</v>
      </c>
      <c r="H186" s="84">
        <f>96*200/150</f>
        <v>128</v>
      </c>
      <c r="I186" s="66">
        <v>25</v>
      </c>
    </row>
    <row r="187" spans="1:9">
      <c r="A187" s="104"/>
      <c r="B187" s="29" t="s">
        <v>84</v>
      </c>
      <c r="C187" s="9" t="s">
        <v>12</v>
      </c>
      <c r="D187" s="42">
        <v>250</v>
      </c>
      <c r="E187" s="80">
        <f>1.5*200/150</f>
        <v>2</v>
      </c>
      <c r="F187" s="80">
        <f>4.5*200/150</f>
        <v>6</v>
      </c>
      <c r="G187" s="80">
        <f>3.75*200/150</f>
        <v>5</v>
      </c>
      <c r="H187" s="80">
        <f>99.5*200/150</f>
        <v>132.66666666666666</v>
      </c>
      <c r="I187" s="42">
        <v>104</v>
      </c>
    </row>
    <row r="188" spans="1:9">
      <c r="A188" s="104"/>
      <c r="B188" s="13" t="s">
        <v>105</v>
      </c>
      <c r="C188" s="11" t="s">
        <v>12</v>
      </c>
      <c r="D188" s="1">
        <v>280</v>
      </c>
      <c r="E188" s="81">
        <f>26.32*200/150</f>
        <v>35.093333333333334</v>
      </c>
      <c r="F188" s="81">
        <f>20.2*200/150</f>
        <v>26.933333333333334</v>
      </c>
      <c r="G188" s="81">
        <f>36.2*200/150</f>
        <v>48.266666666666673</v>
      </c>
      <c r="H188" s="81">
        <f>459.8*200/150</f>
        <v>613.06666666666672</v>
      </c>
      <c r="I188" s="1">
        <v>328</v>
      </c>
    </row>
    <row r="189" spans="1:9">
      <c r="A189" s="104"/>
      <c r="B189" s="13" t="s">
        <v>109</v>
      </c>
      <c r="C189" s="9" t="s">
        <v>12</v>
      </c>
      <c r="D189" s="42">
        <v>200</v>
      </c>
      <c r="E189" s="80">
        <f>0.67*200/150</f>
        <v>0.89333333333333331</v>
      </c>
      <c r="F189" s="80">
        <f>0.27*200/150</f>
        <v>0.36</v>
      </c>
      <c r="G189" s="80">
        <f>18.3*200/150</f>
        <v>24.4</v>
      </c>
      <c r="H189" s="80">
        <f>78*200/150</f>
        <v>104</v>
      </c>
      <c r="I189" s="42">
        <v>496</v>
      </c>
    </row>
    <row r="190" spans="1:9">
      <c r="A190" s="104"/>
      <c r="B190" s="36" t="s">
        <v>74</v>
      </c>
      <c r="C190" s="11" t="s">
        <v>12</v>
      </c>
      <c r="D190" s="1">
        <v>30</v>
      </c>
      <c r="E190" s="81">
        <f>1.98*200/150</f>
        <v>2.64</v>
      </c>
      <c r="F190" s="81">
        <f>0.36*200/150</f>
        <v>0.48</v>
      </c>
      <c r="G190" s="81">
        <f>10.2*200/150</f>
        <v>13.599999999999998</v>
      </c>
      <c r="H190" s="81">
        <f>54.3*200/150</f>
        <v>72.400000000000006</v>
      </c>
      <c r="I190" s="1">
        <v>110</v>
      </c>
    </row>
    <row r="191" spans="1:9">
      <c r="A191" s="114"/>
      <c r="B191" s="29" t="s">
        <v>15</v>
      </c>
      <c r="C191" s="11" t="s">
        <v>12</v>
      </c>
      <c r="D191" s="1">
        <v>20</v>
      </c>
      <c r="E191" s="81">
        <f>1.5*200/150</f>
        <v>2</v>
      </c>
      <c r="F191" s="81">
        <f>0.58*200/150</f>
        <v>0.77333333333333321</v>
      </c>
      <c r="G191" s="81">
        <f>10.28*200/150</f>
        <v>13.706666666666667</v>
      </c>
      <c r="H191" s="81">
        <f>52.4*200/150</f>
        <v>69.86666666666666</v>
      </c>
      <c r="I191" s="12">
        <v>111</v>
      </c>
    </row>
    <row r="192" spans="1:9">
      <c r="A192" s="42"/>
      <c r="B192" s="29" t="s">
        <v>23</v>
      </c>
      <c r="C192" s="4"/>
      <c r="D192" s="3">
        <f>SUM(D186:D191)</f>
        <v>880</v>
      </c>
      <c r="E192" s="85">
        <f>SUM(E186:E191)</f>
        <v>45.16</v>
      </c>
      <c r="F192" s="85">
        <f>SUM(F186:F191)</f>
        <v>41.693333333333328</v>
      </c>
      <c r="G192" s="85">
        <f>SUM(G186:G191)</f>
        <v>106.04</v>
      </c>
      <c r="H192" s="85">
        <f>SUM(H186:H191)</f>
        <v>1120</v>
      </c>
      <c r="I192" s="1"/>
    </row>
    <row r="193" spans="1:9">
      <c r="A193" s="42"/>
      <c r="B193" s="3" t="s">
        <v>36</v>
      </c>
      <c r="C193" s="3"/>
      <c r="D193" s="18"/>
      <c r="E193" s="81"/>
      <c r="F193" s="81"/>
      <c r="G193" s="81"/>
      <c r="H193" s="81"/>
      <c r="I193" s="1"/>
    </row>
    <row r="194" spans="1:9">
      <c r="A194" s="112"/>
      <c r="B194" s="27" t="s">
        <v>54</v>
      </c>
      <c r="C194" s="9" t="s">
        <v>12</v>
      </c>
      <c r="D194" s="1">
        <v>200</v>
      </c>
      <c r="E194" s="81">
        <v>2.8</v>
      </c>
      <c r="F194" s="81">
        <v>3.2</v>
      </c>
      <c r="G194" s="81">
        <v>9.5</v>
      </c>
      <c r="H194" s="81">
        <v>91</v>
      </c>
      <c r="I194" s="42" t="s">
        <v>61</v>
      </c>
    </row>
    <row r="195" spans="1:9">
      <c r="A195" s="110"/>
      <c r="B195" s="18" t="s">
        <v>57</v>
      </c>
      <c r="C195" s="37" t="s">
        <v>12</v>
      </c>
      <c r="D195" s="1">
        <v>80</v>
      </c>
      <c r="E195" s="81">
        <v>2.06</v>
      </c>
      <c r="F195" s="81">
        <v>13.2</v>
      </c>
      <c r="G195" s="81">
        <v>47.4</v>
      </c>
      <c r="H195" s="81">
        <v>289.3</v>
      </c>
      <c r="I195" s="52" t="s">
        <v>61</v>
      </c>
    </row>
    <row r="196" spans="1:9">
      <c r="A196" s="111"/>
      <c r="B196" s="41" t="s">
        <v>96</v>
      </c>
      <c r="C196" s="38" t="s">
        <v>12</v>
      </c>
      <c r="D196" s="56">
        <v>200</v>
      </c>
      <c r="E196" s="81">
        <v>0.8</v>
      </c>
      <c r="F196" s="81">
        <v>0.2</v>
      </c>
      <c r="G196" s="81">
        <v>7.5</v>
      </c>
      <c r="H196" s="81">
        <v>94</v>
      </c>
      <c r="I196" s="12">
        <v>82</v>
      </c>
    </row>
    <row r="197" spans="1:9">
      <c r="A197" s="27"/>
      <c r="B197" s="4" t="s">
        <v>9</v>
      </c>
      <c r="C197" s="40"/>
      <c r="D197" s="3">
        <f>SUM(D194:D196)</f>
        <v>480</v>
      </c>
      <c r="E197" s="85">
        <f>SUM(E194:E196)</f>
        <v>5.6599999999999993</v>
      </c>
      <c r="F197" s="85">
        <f t="shared" ref="F197:G197" si="4">SUM(F194:F196)</f>
        <v>16.599999999999998</v>
      </c>
      <c r="G197" s="85">
        <f t="shared" si="4"/>
        <v>64.400000000000006</v>
      </c>
      <c r="H197" s="85">
        <f>H194+H195+H196</f>
        <v>474.3</v>
      </c>
      <c r="I197" s="18"/>
    </row>
    <row r="198" spans="1:9">
      <c r="A198" s="18"/>
      <c r="B198" s="4" t="s">
        <v>10</v>
      </c>
      <c r="C198" s="4"/>
      <c r="D198" s="18"/>
      <c r="E198" s="85">
        <f>E184+E192+E197</f>
        <v>80.073333333333323</v>
      </c>
      <c r="F198" s="85">
        <f>F184+F192+F197</f>
        <v>88.799999999999983</v>
      </c>
      <c r="G198" s="85">
        <f>G184+G192+G197</f>
        <v>244.21333333333334</v>
      </c>
      <c r="H198" s="85">
        <f>H184+H192+H197</f>
        <v>7093964.9666666659</v>
      </c>
      <c r="I198" s="18"/>
    </row>
    <row r="199" spans="1:9">
      <c r="A199" s="43" t="s">
        <v>77</v>
      </c>
      <c r="B199" s="43" t="s">
        <v>34</v>
      </c>
      <c r="C199" s="43"/>
      <c r="D199" s="44"/>
      <c r="E199" s="90"/>
      <c r="F199" s="90"/>
      <c r="G199" s="90"/>
      <c r="H199" s="90"/>
      <c r="I199" s="43"/>
    </row>
    <row r="200" spans="1:9">
      <c r="A200" s="103" t="s">
        <v>45</v>
      </c>
      <c r="B200" s="13" t="s">
        <v>95</v>
      </c>
      <c r="C200" s="11" t="s">
        <v>12</v>
      </c>
      <c r="D200" s="42">
        <v>100</v>
      </c>
      <c r="E200" s="80">
        <f>17.6*200/150</f>
        <v>23.466666666666669</v>
      </c>
      <c r="F200" s="80">
        <f>17.6*200/150</f>
        <v>23.466666666666669</v>
      </c>
      <c r="G200" s="80">
        <f>8.2*200/150</f>
        <v>10.933333333333332</v>
      </c>
      <c r="H200" s="80">
        <f>246.3*200/150</f>
        <v>328.4</v>
      </c>
      <c r="I200" s="12">
        <v>368</v>
      </c>
    </row>
    <row r="201" spans="1:9">
      <c r="A201" s="104"/>
      <c r="B201" s="29" t="s">
        <v>30</v>
      </c>
      <c r="C201" s="1" t="s">
        <v>12</v>
      </c>
      <c r="D201" s="1">
        <v>180</v>
      </c>
      <c r="E201" s="81">
        <f>7.5*200/150</f>
        <v>10</v>
      </c>
      <c r="F201" s="81">
        <f>6.9*200/150</f>
        <v>9.1999999999999993</v>
      </c>
      <c r="G201" s="81">
        <f>31.1*200/150</f>
        <v>41.466666666666669</v>
      </c>
      <c r="H201" s="81">
        <f>196*200/150</f>
        <v>261.33333333333331</v>
      </c>
      <c r="I201" s="1">
        <v>255</v>
      </c>
    </row>
    <row r="202" spans="1:9">
      <c r="A202" s="104"/>
      <c r="B202" s="29" t="s">
        <v>49</v>
      </c>
      <c r="C202" s="1" t="s">
        <v>12</v>
      </c>
      <c r="D202" s="54">
        <v>15</v>
      </c>
      <c r="E202" s="81">
        <f>0.08*200/150</f>
        <v>0.10666666666666667</v>
      </c>
      <c r="F202" s="81">
        <f>7.25*200/150</f>
        <v>9.6666666666666661</v>
      </c>
      <c r="G202" s="81">
        <f>0.13*200/150</f>
        <v>0.17333333333333334</v>
      </c>
      <c r="H202" s="81">
        <f>66.1*200/150</f>
        <v>88.133333333333326</v>
      </c>
      <c r="I202" s="12">
        <v>79</v>
      </c>
    </row>
    <row r="203" spans="1:9">
      <c r="A203" s="104"/>
      <c r="B203" s="39" t="s">
        <v>78</v>
      </c>
      <c r="C203" s="55" t="s">
        <v>12</v>
      </c>
      <c r="D203" s="1">
        <v>200</v>
      </c>
      <c r="E203" s="81">
        <f>2.8*200/150</f>
        <v>3.7333333333333334</v>
      </c>
      <c r="F203" s="81">
        <f>2.5*200/150</f>
        <v>3.3333333333333335</v>
      </c>
      <c r="G203" s="81">
        <f>13.6*200/150</f>
        <v>18.133333333333333</v>
      </c>
      <c r="H203" s="81">
        <f>88*200/150</f>
        <v>117.33333333333333</v>
      </c>
      <c r="I203" s="63">
        <v>465</v>
      </c>
    </row>
    <row r="204" spans="1:9">
      <c r="A204" s="104"/>
      <c r="B204" s="29" t="s">
        <v>23</v>
      </c>
      <c r="C204" s="11" t="s">
        <v>12</v>
      </c>
      <c r="D204" s="1">
        <v>30</v>
      </c>
      <c r="E204" s="81">
        <f>3*200/150</f>
        <v>4</v>
      </c>
      <c r="F204" s="81">
        <f>1.06*200/150</f>
        <v>1.4133333333333333</v>
      </c>
      <c r="G204" s="81">
        <f>12.4*200/150</f>
        <v>16.533333333333335</v>
      </c>
      <c r="H204" s="81">
        <f>78.6*200/150</f>
        <v>104.79999999999998</v>
      </c>
      <c r="I204" s="12">
        <v>111</v>
      </c>
    </row>
    <row r="205" spans="1:9">
      <c r="A205" s="22"/>
      <c r="B205" s="23" t="s">
        <v>0</v>
      </c>
      <c r="C205" s="9"/>
      <c r="D205" s="19">
        <f>SUM(D200:D204)</f>
        <v>525</v>
      </c>
      <c r="E205" s="87">
        <f>SUM(E200:E204)</f>
        <v>41.306666666666672</v>
      </c>
      <c r="F205" s="87">
        <f>SUM(F200:F204)</f>
        <v>47.080000000000005</v>
      </c>
      <c r="G205" s="87">
        <f>SUM(G200:G204)</f>
        <v>87.24</v>
      </c>
      <c r="H205" s="87">
        <f>SUM(H200:H204)</f>
        <v>900</v>
      </c>
      <c r="I205" s="22"/>
    </row>
    <row r="206" spans="1:9">
      <c r="A206" s="42"/>
      <c r="B206" s="19" t="s">
        <v>35</v>
      </c>
      <c r="C206" s="19"/>
      <c r="D206" s="35"/>
      <c r="E206" s="80"/>
      <c r="F206" s="80"/>
      <c r="G206" s="80"/>
      <c r="H206" s="80"/>
      <c r="I206" s="42"/>
    </row>
    <row r="207" spans="1:9">
      <c r="A207" s="112"/>
      <c r="B207" s="21" t="s">
        <v>53</v>
      </c>
      <c r="C207" s="11" t="s">
        <v>12</v>
      </c>
      <c r="D207" s="1">
        <v>100</v>
      </c>
      <c r="E207" s="81">
        <f>1.8*200/150</f>
        <v>2.4</v>
      </c>
      <c r="F207" s="81">
        <f>12.2*200/150</f>
        <v>16.266666666666666</v>
      </c>
      <c r="G207" s="81">
        <f>10.1*200/150</f>
        <v>13.466666666666667</v>
      </c>
      <c r="H207" s="81">
        <f>111.5*200/150</f>
        <v>148.66666666666666</v>
      </c>
      <c r="I207" s="1">
        <v>1</v>
      </c>
    </row>
    <row r="208" spans="1:9" ht="25.5">
      <c r="A208" s="110"/>
      <c r="B208" s="21" t="s">
        <v>66</v>
      </c>
      <c r="C208" s="37" t="s">
        <v>12</v>
      </c>
      <c r="D208" s="68">
        <v>250</v>
      </c>
      <c r="E208" s="89">
        <f>5.1*200/150</f>
        <v>6.7999999999999989</v>
      </c>
      <c r="F208" s="89">
        <f>8.8*200/150</f>
        <v>11.733333333333334</v>
      </c>
      <c r="G208" s="89">
        <f>17.6*200/150</f>
        <v>23.466666666666669</v>
      </c>
      <c r="H208" s="89">
        <f>152.3*200/150</f>
        <v>203.06666666666669</v>
      </c>
      <c r="I208" s="68">
        <v>100</v>
      </c>
    </row>
    <row r="209" spans="1:9">
      <c r="A209" s="110"/>
      <c r="B209" s="13" t="s">
        <v>108</v>
      </c>
      <c r="C209" s="38" t="s">
        <v>12</v>
      </c>
      <c r="D209" s="1">
        <v>100</v>
      </c>
      <c r="E209" s="81">
        <f>15.1*200/150</f>
        <v>20.133333333333333</v>
      </c>
      <c r="F209" s="81">
        <f>14.1*200/150</f>
        <v>18.8</v>
      </c>
      <c r="G209" s="81">
        <f>9.9*200/150</f>
        <v>13.2</v>
      </c>
      <c r="H209" s="81">
        <f>202.6*200/150</f>
        <v>270.13333333333333</v>
      </c>
      <c r="I209" s="57">
        <v>348</v>
      </c>
    </row>
    <row r="210" spans="1:9">
      <c r="A210" s="110"/>
      <c r="B210" s="29" t="s">
        <v>38</v>
      </c>
      <c r="C210" s="37" t="s">
        <v>12</v>
      </c>
      <c r="D210" s="42">
        <v>180</v>
      </c>
      <c r="E210" s="80">
        <f>9.6*200/150</f>
        <v>12.8</v>
      </c>
      <c r="F210" s="80">
        <f>8.8*200/150</f>
        <v>11.733333333333334</v>
      </c>
      <c r="G210" s="80">
        <f>38.2*200/150</f>
        <v>50.933333333333337</v>
      </c>
      <c r="H210" s="80">
        <f>275.3*200/150</f>
        <v>367.06666666666666</v>
      </c>
      <c r="I210" s="42">
        <v>202</v>
      </c>
    </row>
    <row r="211" spans="1:9">
      <c r="A211" s="110"/>
      <c r="B211" s="29" t="s">
        <v>15</v>
      </c>
      <c r="C211" s="11" t="s">
        <v>12</v>
      </c>
      <c r="D211" s="1">
        <v>200</v>
      </c>
      <c r="E211" s="81">
        <f>0.3*200/150</f>
        <v>0.4</v>
      </c>
      <c r="F211" s="81">
        <f>0.2*200/150</f>
        <v>0.26666666666666666</v>
      </c>
      <c r="G211" s="81">
        <f>25.1*200/150</f>
        <v>33.466666666666669</v>
      </c>
      <c r="H211" s="81">
        <f>103*200/150</f>
        <v>137.33333333333334</v>
      </c>
      <c r="I211" s="1">
        <v>509</v>
      </c>
    </row>
    <row r="212" spans="1:9">
      <c r="A212" s="110"/>
      <c r="B212" s="29" t="s">
        <v>23</v>
      </c>
      <c r="C212" s="11" t="s">
        <v>12</v>
      </c>
      <c r="D212" s="1">
        <v>30</v>
      </c>
      <c r="E212" s="81">
        <f>1.98*200/150</f>
        <v>2.64</v>
      </c>
      <c r="F212" s="81">
        <f>0.36*200/150</f>
        <v>0.48</v>
      </c>
      <c r="G212" s="81">
        <f>10.2*200/150</f>
        <v>13.599999999999998</v>
      </c>
      <c r="H212" s="81">
        <f>54.3*200/150</f>
        <v>72.400000000000006</v>
      </c>
      <c r="I212" s="1">
        <v>110</v>
      </c>
    </row>
    <row r="213" spans="1:9">
      <c r="A213" s="111"/>
      <c r="B213" s="29"/>
      <c r="C213" s="11"/>
      <c r="D213" s="1"/>
      <c r="E213" s="81"/>
      <c r="F213" s="81"/>
      <c r="G213" s="81"/>
      <c r="H213" s="81"/>
      <c r="I213" s="12"/>
    </row>
    <row r="214" spans="1:9">
      <c r="A214" s="42"/>
      <c r="B214" s="28" t="s">
        <v>8</v>
      </c>
      <c r="C214" s="28"/>
      <c r="D214" s="19">
        <f>SUM(D207:D213)</f>
        <v>860</v>
      </c>
      <c r="E214" s="87">
        <f>SUM(E207:E213)</f>
        <v>45.173333333333332</v>
      </c>
      <c r="F214" s="87">
        <f t="shared" ref="F214:H214" si="5">SUM(F207:F213)</f>
        <v>59.279999999999994</v>
      </c>
      <c r="G214" s="87">
        <f t="shared" si="5"/>
        <v>148.13333333333335</v>
      </c>
      <c r="H214" s="87">
        <f t="shared" si="5"/>
        <v>1198.6666666666667</v>
      </c>
      <c r="I214" s="42"/>
    </row>
    <row r="215" spans="1:9">
      <c r="A215" s="42"/>
      <c r="B215" s="19" t="s">
        <v>36</v>
      </c>
      <c r="C215" s="19"/>
      <c r="D215" s="27"/>
      <c r="E215" s="80"/>
      <c r="F215" s="80"/>
      <c r="G215" s="80"/>
      <c r="H215" s="80"/>
      <c r="I215" s="42"/>
    </row>
    <row r="216" spans="1:9">
      <c r="A216" s="112"/>
      <c r="B216" s="36" t="s">
        <v>58</v>
      </c>
      <c r="C216" s="38" t="s">
        <v>12</v>
      </c>
      <c r="D216" s="1">
        <v>200</v>
      </c>
      <c r="E216" s="81">
        <v>1</v>
      </c>
      <c r="F216" s="81">
        <v>0</v>
      </c>
      <c r="G216" s="81">
        <v>0</v>
      </c>
      <c r="H216" s="81">
        <v>110</v>
      </c>
      <c r="I216" s="1">
        <v>518</v>
      </c>
    </row>
    <row r="217" spans="1:9">
      <c r="A217" s="110"/>
      <c r="B217" s="27" t="s">
        <v>67</v>
      </c>
      <c r="C217" s="37" t="s">
        <v>12</v>
      </c>
      <c r="D217" s="1">
        <v>80</v>
      </c>
      <c r="E217" s="81">
        <v>0.9</v>
      </c>
      <c r="F217" s="81">
        <v>26.2</v>
      </c>
      <c r="G217" s="81">
        <v>87.2</v>
      </c>
      <c r="H217" s="81">
        <v>319</v>
      </c>
      <c r="I217" s="42" t="s">
        <v>47</v>
      </c>
    </row>
    <row r="218" spans="1:9">
      <c r="A218" s="111"/>
      <c r="B218" s="27" t="s">
        <v>98</v>
      </c>
      <c r="C218" s="9" t="s">
        <v>12</v>
      </c>
      <c r="D218" s="56">
        <v>200</v>
      </c>
      <c r="E218" s="81">
        <v>0.8</v>
      </c>
      <c r="F218" s="81">
        <v>0.2</v>
      </c>
      <c r="G218" s="81">
        <v>7.5</v>
      </c>
      <c r="H218" s="81">
        <v>94</v>
      </c>
      <c r="I218" s="12">
        <v>112</v>
      </c>
    </row>
    <row r="219" spans="1:9">
      <c r="A219" s="27"/>
      <c r="B219" s="28" t="s">
        <v>9</v>
      </c>
      <c r="C219" s="28"/>
      <c r="D219" s="19">
        <f>SUM(D216:D218)</f>
        <v>480</v>
      </c>
      <c r="E219" s="87">
        <f>SUM(E216:E218)</f>
        <v>2.7</v>
      </c>
      <c r="F219" s="87">
        <f t="shared" ref="F219" si="6">SUM(F216:F218)</f>
        <v>26.4</v>
      </c>
      <c r="G219" s="87">
        <f>G216+G217+G218</f>
        <v>94.7</v>
      </c>
      <c r="H219" s="87">
        <f>H216+H217+H218</f>
        <v>523</v>
      </c>
      <c r="I219" s="27"/>
    </row>
    <row r="220" spans="1:9">
      <c r="A220" s="27"/>
      <c r="B220" s="28" t="s">
        <v>10</v>
      </c>
      <c r="C220" s="28"/>
      <c r="D220" s="27"/>
      <c r="E220" s="87">
        <f>E205+E214+E219</f>
        <v>89.18</v>
      </c>
      <c r="F220" s="87">
        <f>F205+F214+F219</f>
        <v>132.76</v>
      </c>
      <c r="G220" s="87">
        <f>G205+G214+G219</f>
        <v>330.07333333333332</v>
      </c>
      <c r="H220" s="87">
        <f>H205+H214+H219</f>
        <v>2621.666666666667</v>
      </c>
      <c r="I220" s="27"/>
    </row>
  </sheetData>
  <mergeCells count="38">
    <mergeCell ref="A93:A97"/>
    <mergeCell ref="A100:A106"/>
    <mergeCell ref="A109:A111"/>
    <mergeCell ref="A1:I1"/>
    <mergeCell ref="A3:A4"/>
    <mergeCell ref="B3:B4"/>
    <mergeCell ref="C3:D4"/>
    <mergeCell ref="E3:G3"/>
    <mergeCell ref="H3:H4"/>
    <mergeCell ref="I3:I4"/>
    <mergeCell ref="A44:A46"/>
    <mergeCell ref="A50:A54"/>
    <mergeCell ref="A56:A61"/>
    <mergeCell ref="A64:A65"/>
    <mergeCell ref="A72:A76"/>
    <mergeCell ref="A79:A84"/>
    <mergeCell ref="A87:A89"/>
    <mergeCell ref="A35:A41"/>
    <mergeCell ref="A2:I2"/>
    <mergeCell ref="A28:A32"/>
    <mergeCell ref="A6:A9"/>
    <mergeCell ref="A13:A18"/>
    <mergeCell ref="A21:A23"/>
    <mergeCell ref="A115:A118"/>
    <mergeCell ref="A121:A126"/>
    <mergeCell ref="A129:A131"/>
    <mergeCell ref="A136:A140"/>
    <mergeCell ref="A143:A148"/>
    <mergeCell ref="A151:A153"/>
    <mergeCell ref="A157:A161"/>
    <mergeCell ref="A163:A168"/>
    <mergeCell ref="A171:A172"/>
    <mergeCell ref="A179:A183"/>
    <mergeCell ref="A186:A191"/>
    <mergeCell ref="A194:A196"/>
    <mergeCell ref="A200:A204"/>
    <mergeCell ref="A207:A213"/>
    <mergeCell ref="A216:A218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12+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школа</cp:lastModifiedBy>
  <cp:lastPrinted>2025-05-22T10:07:26Z</cp:lastPrinted>
  <dcterms:created xsi:type="dcterms:W3CDTF">2017-12-27T06:34:06Z</dcterms:created>
  <dcterms:modified xsi:type="dcterms:W3CDTF">2025-05-23T09:40:04Z</dcterms:modified>
</cp:coreProperties>
</file>